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130" yWindow="2400" windowWidth="11190" windowHeight="9780" tabRatio="200"/>
  </bookViews>
  <sheets>
    <sheet name="For Website" sheetId="12" r:id="rId1"/>
  </sheets>
  <definedNames>
    <definedName name="_xlnm.Print_Area" localSheetId="0">'For Website'!$A$1:$N$81</definedName>
    <definedName name="_xlnm.Print_Titles" localSheetId="0">'For Website'!$A:$A,'For Website'!$4:$6</definedName>
  </definedNames>
  <calcPr calcId="145621"/>
</workbook>
</file>

<file path=xl/calcChain.xml><?xml version="1.0" encoding="utf-8"?>
<calcChain xmlns="http://schemas.openxmlformats.org/spreadsheetml/2006/main">
  <c r="L71" i="12" l="1"/>
  <c r="L72" i="12"/>
  <c r="K73" i="12"/>
  <c r="L73" i="12"/>
  <c r="K74" i="12"/>
  <c r="K75" i="12"/>
  <c r="L75" i="12"/>
  <c r="K76" i="12"/>
  <c r="L76" i="12"/>
  <c r="K77" i="12"/>
  <c r="L49" i="12" l="1"/>
  <c r="K52" i="12" l="1"/>
  <c r="K35" i="12" l="1"/>
  <c r="K18" i="12" l="1"/>
  <c r="L17" i="12" l="1"/>
  <c r="I70" i="12"/>
  <c r="J59" i="12" l="1"/>
  <c r="K10" i="12" l="1"/>
  <c r="K23" i="12" l="1"/>
  <c r="K22" i="12"/>
  <c r="K21" i="12"/>
  <c r="K20" i="12"/>
  <c r="K17" i="12"/>
  <c r="K16" i="12"/>
  <c r="K14" i="12"/>
  <c r="K12" i="12"/>
  <c r="K8" i="12"/>
  <c r="G59" i="12" l="1"/>
  <c r="H59" i="12"/>
  <c r="I59" i="12"/>
  <c r="K64" i="12" l="1"/>
  <c r="K63" i="12"/>
  <c r="K55" i="12" l="1"/>
  <c r="I24" i="12" l="1"/>
  <c r="F43" i="12" l="1"/>
  <c r="E43" i="12"/>
  <c r="E28" i="12" l="1"/>
  <c r="L50" i="12" l="1"/>
  <c r="K50" i="12"/>
  <c r="G39" i="12"/>
  <c r="J47" i="12" l="1"/>
  <c r="I47" i="12"/>
  <c r="H47" i="12"/>
  <c r="G47" i="12"/>
  <c r="J24" i="12"/>
  <c r="H24" i="12"/>
  <c r="G24" i="12"/>
  <c r="K54" i="12"/>
  <c r="K51" i="12"/>
  <c r="L48" i="12" l="1"/>
  <c r="L47" i="12" s="1"/>
  <c r="K48" i="12"/>
  <c r="K47" i="12" s="1"/>
  <c r="L66" i="12" l="1"/>
  <c r="L60" i="12"/>
  <c r="K60" i="12"/>
  <c r="K59" i="12" s="1"/>
  <c r="J70" i="12"/>
  <c r="H70" i="12"/>
  <c r="G70" i="12"/>
  <c r="L59" i="12" l="1"/>
  <c r="K70" i="12" l="1"/>
  <c r="L70" i="12"/>
  <c r="L68" i="12"/>
  <c r="L69" i="12"/>
  <c r="J39" i="12"/>
  <c r="I39" i="12"/>
  <c r="H39" i="12"/>
  <c r="L44" i="12"/>
  <c r="K44" i="12"/>
  <c r="L46" i="12"/>
  <c r="L45" i="12"/>
  <c r="K45" i="12"/>
  <c r="L43" i="12"/>
  <c r="K43" i="12"/>
  <c r="E42" i="12"/>
  <c r="K41" i="12"/>
  <c r="L40" i="12"/>
  <c r="K40" i="12"/>
  <c r="L35" i="12"/>
  <c r="K38" i="12"/>
  <c r="K37" i="12"/>
  <c r="K36" i="12"/>
  <c r="K34" i="12"/>
  <c r="K33" i="12"/>
  <c r="K31" i="12"/>
  <c r="K30" i="12"/>
  <c r="K28" i="12"/>
  <c r="L27" i="12"/>
  <c r="K27" i="12"/>
  <c r="K26" i="12"/>
  <c r="K25" i="12"/>
  <c r="L24" i="12" l="1"/>
  <c r="K24" i="12"/>
  <c r="K39" i="12"/>
  <c r="L39" i="12"/>
  <c r="L7" i="12"/>
  <c r="G7" i="12"/>
  <c r="J7" i="12"/>
  <c r="I7" i="12"/>
  <c r="H7" i="12"/>
  <c r="K7" i="12" l="1"/>
  <c r="H67" i="12"/>
  <c r="H78" i="12" s="1"/>
  <c r="I67" i="12"/>
  <c r="I78" i="12" s="1"/>
  <c r="J67" i="12"/>
  <c r="J78" i="12" s="1"/>
  <c r="K67" i="12"/>
  <c r="G67" i="12"/>
  <c r="G78" i="12" s="1"/>
  <c r="K78" i="12" l="1"/>
  <c r="L67" i="12"/>
  <c r="L78" i="12" s="1"/>
  <c r="E41" i="12" l="1"/>
  <c r="E29" i="12"/>
  <c r="E50" i="12" l="1"/>
  <c r="F71" i="12"/>
</calcChain>
</file>

<file path=xl/sharedStrings.xml><?xml version="1.0" encoding="utf-8"?>
<sst xmlns="http://schemas.openxmlformats.org/spreadsheetml/2006/main" count="220" uniqueCount="149">
  <si>
    <t>განმახორციელებელი</t>
  </si>
  <si>
    <t>შიდასახელმწიფოებრივი და ადგილობრივი გზების პროექტი II (WB)</t>
  </si>
  <si>
    <t>რეგიონალური განვითარების პროექტი I ნაწილი (კახეთი) (WB)</t>
  </si>
  <si>
    <t>რეგიონალური განვითარების პროექტი II ნაწილი (იმერეთი) (WB)</t>
  </si>
  <si>
    <t xml:space="preserve">ურბანული მომსახურების გაუმჯობესების პროგრამა (წყალმომარაგებისა და წყალარინების სექტორი) (ADB) </t>
  </si>
  <si>
    <t>დაცული ტერიტორიების მხარდაჭერის პროგრამა კავკასიაში-საქართველო (ეკორეგიონული პროგრამა საქართველო, ფაზა III) (KfW)</t>
  </si>
  <si>
    <t>აჭარის მყარი ნარჩენების პროექტი (EBRD)</t>
  </si>
  <si>
    <t>საქართველოს გაერთიანებული წყალმომარაგების კომპანია</t>
  </si>
  <si>
    <t>ბათუმის მერია</t>
  </si>
  <si>
    <t>შპს ენგურჰესი</t>
  </si>
  <si>
    <t>პროექტი</t>
  </si>
  <si>
    <t>ენერგეტიკა</t>
  </si>
  <si>
    <t>ურბანული და მუნიციპალური ინფრასტრუქტურა</t>
  </si>
  <si>
    <t>საგზაო ინფრასტრუქტურა</t>
  </si>
  <si>
    <t>MCA-საქართველო</t>
  </si>
  <si>
    <t xml:space="preserve">წყლის ინფრასტრუქტურა </t>
  </si>
  <si>
    <t>დაცული ტერიტორიების განვითარება (CNF)</t>
  </si>
  <si>
    <t xml:space="preserve">სოფლის მეურნეობა </t>
  </si>
  <si>
    <t>სხვა</t>
  </si>
  <si>
    <t>გარემოს დაცვა</t>
  </si>
  <si>
    <t>სესხი</t>
  </si>
  <si>
    <t>გრანტი</t>
  </si>
  <si>
    <t>მდგრადი ურბანული ტრანსპორტის განვითარების საინვესტიციო პროგრამა (ADB)</t>
  </si>
  <si>
    <t>ქობულეთის წყალარინების რეაბილიტაცია (EBRD, ORET)</t>
  </si>
  <si>
    <t>SDR</t>
  </si>
  <si>
    <t>USD</t>
  </si>
  <si>
    <t>ვალუტა</t>
  </si>
  <si>
    <t>სულ</t>
  </si>
  <si>
    <t xml:space="preserve">USD </t>
  </si>
  <si>
    <t>საგზაო დერეფნის საინვესტიციო პროგრამა (ქობულეთის შემოვლითი გზა) (ADB)</t>
  </si>
  <si>
    <t>JPY</t>
  </si>
  <si>
    <t>EUR</t>
  </si>
  <si>
    <t>აღმოსავლეთ-დასავლეთის ჩქაროსნული ავტომაგისტრალის ზესტაფონი-ქუთაისი-სამტრედიის მონაკვეთის მშენებლობა (JICA)</t>
  </si>
  <si>
    <t>სს საქართველოს სახელმწიფო ელექტროსისტემა</t>
  </si>
  <si>
    <t xml:space="preserve">ხელშეკრულების ვალუტაში </t>
  </si>
  <si>
    <t>აღმოსავლეთ-დასავლეთის სატრანზიტო მაგისტრალი IV (აგარა-ზემო ოსიაური) (WB)</t>
  </si>
  <si>
    <t>საკანალიზაციო სისტემების მდგრადი მართვის პროექტი (SIDA)</t>
  </si>
  <si>
    <t>კომენტარი</t>
  </si>
  <si>
    <t xml:space="preserve">შეთანხმებული თანხა </t>
  </si>
  <si>
    <t>აჭარის ავტონომიური რესპუბლიკის ფინანსთა და ეკონომიკის სამინისტრო</t>
  </si>
  <si>
    <t>სსიპ საქართველოს მუნიციპალური განვითარების ფონდი</t>
  </si>
  <si>
    <t>საქართველოს რეგიონული განვითარებისა და ინფრასტრუქტურის სამინისტრო</t>
  </si>
  <si>
    <t>საქართველოს საავტომობილო გზების დეპარტამენტი</t>
  </si>
  <si>
    <t>სახელმწიფო ბიუჯეტში ასახული დონორების მხარდაჭერით დაფინანსებული პროგრამები და პროექტები</t>
  </si>
  <si>
    <t>სსიპ დაცული ტერიტორიების სააგენტო</t>
  </si>
  <si>
    <t>ლარში</t>
  </si>
  <si>
    <t>შიდასახელმწიფოებრივი და ადგილობრივი გზების პროექტი III (WB)</t>
  </si>
  <si>
    <t>შპს მყარი ნარჩენების მართვის კომპანია</t>
  </si>
  <si>
    <t>პროექტის დასრულების თარიღი</t>
  </si>
  <si>
    <t>ათასწლეულის გამოწვევა საქართველოს - მეორე კომპაქტი (MCC)</t>
  </si>
  <si>
    <t xml:space="preserve"> სულ ათვისებული თანხა (საკასო) **</t>
  </si>
  <si>
    <t>რეგიონალური და მუნიციპალური ინფრასტრუქტურის განვითარების პროექტი II (WB)</t>
  </si>
  <si>
    <t>ჭიათურის საბაგირო გზების რეკონსტრუქცია-რეაბილიტაციის პროექტი (საფრანგეთი)</t>
  </si>
  <si>
    <t>სოფლის მეურნეობის მოდერნიზაციის, ბაზარზე წვდომისა და მდგრადობის პროექტი (GEF, IFAD)</t>
  </si>
  <si>
    <t>ზემო სამგორის სარწყავი სისტემის რეაბილიტაცია (ORIO)</t>
  </si>
  <si>
    <t xml:space="preserve">ირიგაციისა და დრენაჟის სისტემების გაუმჯობესება (WB) </t>
  </si>
  <si>
    <t>რეგიონალური განვითარების პროექტი III ნაწილი (მცხეთა-მთიანეთი და სამცხე-ჯავახეთი) (WB)</t>
  </si>
  <si>
    <t>ქვემო ქართლის ნარჩენების მართვის პროექტი (EBRD, SIDA)</t>
  </si>
  <si>
    <t>აღმოსავლეთ-დასავლეთის ჩქაროსნული ავტომაგისტრალის მოდერნიზაცია-მშენებლობა სამტრედია-გრიგოლეთის მონაკვეთზე (EIB, EU)</t>
  </si>
  <si>
    <t>ქუთაისის მყარი ნარჩენების პროექტი (KfW, EU)</t>
  </si>
  <si>
    <t>ვარდნილისა და ენგურის ჰიდროელექტროსადგურების რეაბილიტაციის პროექტი (EIB, EU)</t>
  </si>
  <si>
    <t>ინოვაციური ეკოსისტემის განვითარება (IBRD)</t>
  </si>
  <si>
    <t>საქართველოს შეიარაღებული ძალების შესაძლებლობების გაძლიერება (საფრანგეთი - SG)</t>
  </si>
  <si>
    <t>საქართველოს ურბანული რეკონსტრუქციის და განვითარების პროექტი (EIB)</t>
  </si>
  <si>
    <t>220კვ "ახალციხე-ბათუმი" ხაზის მშენებლობა (WB)</t>
  </si>
  <si>
    <t>შიდასახელმწიფოებრივი გზების აქტივების მართვის პროექტი (WB)</t>
  </si>
  <si>
    <t>ბათუმი (ანგისა) - ახალციხის საავტომობილო გზის ხულო-ზარზმის მონაკვეთის რეაბილიტაცია-რეკონსტრუქცია (Kuwait Fund)</t>
  </si>
  <si>
    <t>მდინარე დებედაზე ხიდის მშენებლობა (EBRD)</t>
  </si>
  <si>
    <t>2017 წლის განმავლობაში ათვისებული თანხა (საკასო) **</t>
  </si>
  <si>
    <t>2017 წლის ბიუჯეტით დამტკიცებული თანხა</t>
  </si>
  <si>
    <t>აღმოსავლეთ-დასავლეთის ჩქაროსნული ავტომაგისტრალის დერეფნის გაუმჯობესების პროექტი (ზემო ოსიაური-რიკოთი) (WB, EIB)</t>
  </si>
  <si>
    <t>KWD</t>
  </si>
  <si>
    <t>საქართველოს მუნიციპალური ინფრასტრუქტურის განახლების პროექტი (EIB)</t>
  </si>
  <si>
    <t xml:space="preserve">ბათუმში კომუნალური ინფრასტრუქტურის დაწესებულებათა რეაბილიტაცია (III ფაზა) (KfW, EU-NIF) </t>
  </si>
  <si>
    <t>ბათუმის ავტობუსების პროექტი (E5P, EBRD)</t>
  </si>
  <si>
    <t>თბილისის ავტობუსების პროექტი (E5P, EBRD)</t>
  </si>
  <si>
    <t>თბილისის საჯარო სკოლების რეაბილიტაცია და ენერგო ეფექტურობის გაზრდის პროექტი (CEB, E5P)</t>
  </si>
  <si>
    <t>აგროკრედიტი (EIB)</t>
  </si>
  <si>
    <t>საქართველოს ელექტროენერგეტიკის ბაზრის ახალი კონცეფციის შემუშავება (EBRD)</t>
  </si>
  <si>
    <t>500 კვ ეგხ წყალტუბო -ახალციხე - ტორტუმი (KfW)</t>
  </si>
  <si>
    <t>250 მგვარ რეაქტორი ქ/ს ზესტაფონში (EBRD)</t>
  </si>
  <si>
    <t>საქართველოს ელექტროენერგეტიკული სექტორის განვითარების შეფასება (WB)</t>
  </si>
  <si>
    <t>ჩრდილოეთის რგოლი ეგხ (I ფაზა) (EBRD, KfW)</t>
  </si>
  <si>
    <t>500 კვ ეგხ ჯვარი-წყალტუბო (WB)</t>
  </si>
  <si>
    <t>გურიის ელგადაცემის ხაზების ინფრასტრუქტურის გაძლიერება (KfW)</t>
  </si>
  <si>
    <t xml:space="preserve">ბათუმში კომუნალური ინფრასტრუქტურის დაწესებულებათა რეაბილიტაცია (IV ფაზა) (KfW) </t>
  </si>
  <si>
    <t>საქართველოს ტექნიკური უნივერსიტეტის სტრუქტურაში, ჰიდროტექნიკური კვლევების ლაბორატორიის ჩამოყალიბების პროექტი (Unicredit Bank)</t>
  </si>
  <si>
    <t>ქ. ბათუმის ახალი შემოვლითი გზა (ADB, AIIB)</t>
  </si>
  <si>
    <t xml:space="preserve"> - 500კვ ორჯაჭვა ეგხ-ის „წყალტუბო-ახალციხე“ მშენებლობას (დაახლოებით 160კმ) ;
 - 500კვ ქვესადგურის - „ახალციხე“ გაფართოება;
 - 400კვ ეგხ-ის „ახალციხე-თორთუმი“ მშენებლობა თურქეთის საზღვრამდე დაახლ. 30 კმ);
(დაგეგმილი)</t>
  </si>
  <si>
    <t xml:space="preserve"> - დაახლოებით 100 კილომეტრი 500კვ ერთჯაჭვა გადამცემი ხაზის „ჯვარი-წყალტუბო“ მშენებლობა;
 - 500კვ ქვესადგურის „წყალტუბო“ მშენებლობა.
(დაგეგმილი)</t>
  </si>
  <si>
    <t xml:space="preserve"> - 220/110კვ ქვესადგური "ოზურგეთი", 250 მვა დადგმული სიმძლავრით;
 - 220კვ ეგხ "პალიასტომი"-დან ორჯაჭვა ეგხ-ის შეჭრა 220/110 კვ ქს-ში "ოზურგეთი";
 - ახალი 110კვ ქვესადგურის მშენებლობა ჩოხატაურში;
 - ახალი ორჯაჭვა 110კვ ხაზი "ოზურგეთი-ჩოხატაური"
 (დაგეგმილი)</t>
  </si>
  <si>
    <t>საქართველოში მყარი ნარჩენების მართვის პროექტი (EBRD)</t>
  </si>
  <si>
    <t xml:space="preserve"> - ბათუმში წყალმომარაგების და საკანალიზაციო ქსელის რეაბილიტაცია (სამუშაოების ნაწილი დასრულდა);
 - წყლის რეზერვუარების მშენებლობა - რეაბილიტაცია (დასრულდა);
 - გამწმენდი ნაგებობების მშენებლობა - რეაბილიტაცია (დასრულდა);
 - საკანალიზაციო სისტემის შექმნა აჭარის სანაპირო სოფლებში, კერძოდ გონიოში, კვარიათში, სარფში და ახალსოფელში (დასრულდა);
 - ბათუმის მიმდებარე სამ სოფელში (ჩაქვი, მწვანე კონცხი და მახინჯაური)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(მიმდინარეობს);
 - ბათუმში სანიაღვრე სისტემის ნაწილის რეაბილიტაცია (მიმდინარეობს);
 - ბათუმში წყლის მრიცხველების დამონტაჟება (სამუშაოები მიმდინარეობს).</t>
  </si>
  <si>
    <t xml:space="preserve"> წყლის ინფრასტრუქტურის განახლების პროექტი II (EIB, EU)</t>
  </si>
  <si>
    <t>500-220 კვ ქ/ს-ის "ჯვარი" და შესაბამისი ელექტროგადამცემი ხაზების მშენებლობა (EBRD, KfW, EU)</t>
  </si>
  <si>
    <t xml:space="preserve"> - ახალი 500/220 კვ ქვესადგურის მშენებლობა ჯვარში (მიმდინარეობს);
 -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(მიმდინარეობს);
 - ქვესადგურების ქსანის და სტეფანწმინდის დამაკავშირებელი ელექტროგადამცემი ხაზის მშენებლობა (500 კვ) (მიმდინარეობს)</t>
  </si>
  <si>
    <t>500 კვ ეგხ-ის მშენებლობა ქსანი-სტეფანწმინდა (KfW)</t>
  </si>
  <si>
    <t>*პროექტები, რომელთა დასაფინანსებლად სხვადასხვა დროს გაფორმდა რამდენიმე ხელშეკრულება, მითითებულია პირველი ხელშეკრულების ხელმოწერის თარიღი</t>
  </si>
  <si>
    <r>
      <rPr>
        <sz val="12"/>
        <rFont val="Arial"/>
        <family val="2"/>
        <charset val="204"/>
      </rPr>
      <t>**</t>
    </r>
    <r>
      <rPr>
        <sz val="12"/>
        <rFont val="Franklin Gothic Book"/>
        <family val="2"/>
        <scheme val="minor"/>
      </rPr>
      <t xml:space="preserve">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t>
    </r>
  </si>
  <si>
    <t xml:space="preserve"> - ბორჯომ-ხარაგაულის ეროვნული პარკის მხარდაჭერა;
 - ლაგოდეხის დაცული ტერიტორიის მხარდაჭერა;
 - ვაშლოვანის დაცული ტერიტორიის მხარდაჭერა;
 - თუშეთის დაცული ტერიტორიის მხარდაჭერა.
(მომზადდა ბორჯომ-ხარაგაულის სახვლარის საძოვრების შეფასება, დასრულდა ბორჯომ-ხარაგაულის და ჯავახეთის ტურისტული სტრატეგიების მომზადება; მომზადდა ბორჯომის ადმინისტრაციაში მცირე სავაჭრო/სუვენირების დახლის პროექტი; მომზადდა სტატია ჯავახეთზე და ლაგოდეხზე ჟურნალისთვის "The Georgian", რომელიც გერმანიის ტურისტულ გამოფენაზე გავრცელდა)</t>
  </si>
  <si>
    <t xml:space="preserve"> - ახალი ნაგავსაყრელის (ქუთაისის შესასვლელი, სოფელი ჭოგნარი) მოწყობა (მიმდინარეობს მოსამზადებელი სამუშაოები);
 - მყარი ნარჩენების ტრანსპორტირებისა და ნაგავსაყრელის ფუნქციონირებისათვის საჭირო მანქანების/აღჭურვილობის შეძენა (დაგეგმილია დაახლოებით 2017 წელს)
 - ქუთაისის არსებული ნაგავსაყრელის დახურვა (დაიხურება ქუთაისის ახალი ნაგავსაყრელის ამოქმედების შემდეგ)</t>
  </si>
  <si>
    <t xml:space="preserve"> - თელავში, ყვარელში და ახმეტაში ინფრასტრუქტურის რეაბილიტაცია (მუნიციპალური და კომუნალური ინფრასტრუქტურა, ისტორიული უბნების რეაბილიტაცია) (მიმდინარეობს);
 - კახეთის მასშტაბით კულტურული მემკვიდრეობის ძეგლების კეთილმოწყობა (მიმდინარეობს);
 - კერძო სექტორის ხელშეწყობა ტურიზმის და სოფლის მეურნეობის სექტორში (დასრულდა)</t>
  </si>
  <si>
    <t xml:space="preserve"> - წყალტუბოში ინფრასტრუქტურის რეაბილიტაცია;
 - იმერეთის მასშტაბით კულტურული მემკვიდრეობის ძეგლების კეთილმოწყობა (დამხმარე ინფრასტრუქტურა)
(მიმდინარეობს სამშენებლო სამუშაოები)</t>
  </si>
  <si>
    <t xml:space="preserve"> - 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 თბილისში 2015 წელს წყალდიდობის შედეგად დაზიანებული ინფრასტრუქტურის რეაბილიტაცია
(მიმდინარეობს სამშენებლო სამუშაოები)</t>
  </si>
  <si>
    <t xml:space="preserve"> - 220 კვ ორჯაჭვა ეგხ "ხუდონი-ნენსკრა" მშენებლობა;
 - 110 კვ ეგხ "ხუდონი - მესტია" მშენებლობა;
 - 125 მვა, 110/35 კვ ქვესადგური "მესტია" მშენებლობა;
 - 500/220/110კვ ქვესადგური "ხუდონი" მშენებლობა;
 - 500კვ ეგხ კავკასიონი"-ს შეჭრა ქვესადგურში "ხუდონი";
 - 110 კვ ორჯაჭვა ხაზი "ხელედულა - ჯახუნდერი" მშენებლობა;
 - 220/110 კვ 125 მგვა ქ/ს ლაჯანურის მშენებლობა/გაფართოება 
 (დაგეგმილი)</t>
  </si>
  <si>
    <t xml:space="preserve"> - აგარა - ზემო ოსიაურის მონაკვეთზე (დაახლოებით 12 კმ) ავტომაგისტრალის მშენებლობა (დასრულდა, მოძრაობა გახსნილია 7 კილომეტრიან მონაკვეთზე);
 - ნაპირსამაგრი ნაგებობის (დაახლოებით 3.4 კმ) მშენებლობა (დასრულდა);
 - რიკოთი - ზესტაფონის მონაკვეთზე ახალი ავტომაგისტრალის მშენებლობის ტექნიკურ - ეკონომიკური შესწავლა (მათ შორის რიკოთის მეორე გვირაბი) და სხვა მოსამზადებელი სამუშაოები (დასრულდა)</t>
  </si>
  <si>
    <t xml:space="preserve"> - აჭარაში (ქობულეთში, სოფელ ცეცხლაურთან) თანამედროვე ტიპის ნაგავსაყრელის მშენებლობა (მიმდინარეობს პროექტის მოსამზადებელი სამუშაოები);
 - ბათუმის არსებული ნაგავსაყრელის დახურვა (დახურვა მოხდება ახალი ნაგავსაყრელის ამოქმედების შემდეგ)</t>
  </si>
  <si>
    <t>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 
 - საბაგირო N1 ცენტრი - სანატორიუმი (მიმდინარეობს სამშენებლო სამუშაოები);
 - საბაგირო N2 ცენტრი - ლეჟუბანი (მიმდინარეობს სამშენებლო სამუშაოები);
 - საბაგირო N3 ცენტრი - ნაგუთი (მიმდინარეობს სამშენებლო სამუშაოები);
 - საბაგირო N4 ცენტრი - მუხაძე (მიმდინარეობს სამშენებლო სამუშაოები)</t>
  </si>
  <si>
    <t>მცხეთა-მთიანეთში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(მიმდინარეობს სამშენებლო სამუშაოები)</t>
  </si>
  <si>
    <t>ქვემო ქართლის რეგიონში (მარნეული) ახალი ნაგავსაყრელის მშენებლობა (მიმდინარეობს მოსამზადებელი სამუშაოები)</t>
  </si>
  <si>
    <t xml:space="preserve">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t>
  </si>
  <si>
    <t>ბათუმში წყალმომარაგების და წყალარინების სისტემის რეაბილიტაცია და გაფართოება (მიმდინარეობს)</t>
  </si>
  <si>
    <t>საქართველოს სხვადასხვა რეგიონში წყლის მიწოდების გაუმჯობესება (მიმდინარეობს)</t>
  </si>
  <si>
    <t xml:space="preserve"> - ვარდნილის ჰიდროელექტროსადგურის კასკადის რეაბილიტაცია (დასრულდა);
 - გალის წყალსაცავზე და ვარდნილის არხზე უსაფრთხოების აუცილებელი ზომების განხორციელება (დასრულდა); 
 - ენგურის ჰიდროელექტროსადგურის ორი აგრეგატის (#1 და #5) რეაბილიტაცია (დასრულდა).
- სხვადასხვა სარეაბილიტაციო სამუშაოები (მიმდინარეობს)</t>
  </si>
  <si>
    <t>250 მგვარ სიმძლავრის რეგულირებადი რეაქტორის მშენებლობა - ,,ქ/ს ზესტაფონი 500-ში“ (დაგეგმილი)</t>
  </si>
  <si>
    <t>ახალციხიდან ბათუმამდე (142 კმ სიგრძის) მაღალი ძაბვის (220კვ) ელექტროგადამცემი ხაზის მშენებლობა (მიმდინარეობს)</t>
  </si>
  <si>
    <t>ელექტროენერგიის სექტორის სტრატეგიული გარემოსდაცვითი ზემოქმედების შეფასება (მიმდინარებს)</t>
  </si>
  <si>
    <t>ირიგაციისა და დრენაჟის სისტემების რეაბილიტაცია და მოდერნიზაცია: ქვემო სამგორის საირიგაციო არხი (2200 ჰექტარი), ტბისი-კუმისის საირიგაციო არხი (2200 ჰექტარი) და ზედა რუს საირიგაციო არხი (1319 ჰექტარი) (მიმდინარეობს)</t>
  </si>
  <si>
    <t>რამდენიმე საპილოტე ადგილში (მათ შორის შუახევი, ვანი, მარტვილი, მესტია, დედოფლისწყარო, გურჯაანი, გორი, მცხეთა, თიანეთი, თეთრიწყარო) მიწის რეგისტრაციასთან დაკავშირებული ღონისძიებები (მიმდინარეობს)</t>
  </si>
  <si>
    <t>საქართველოში მემცენარეობის (მეთხილეობის ჩათვლით) და მეღვინეობის შერჩეულ ღირებულებათა ჯაჭვის განვითარება (დაგეგმილი)</t>
  </si>
  <si>
    <t>ზემო სამგორის ირიგაციისა და დრენაჟის სისტემის რეაბილიტაცია. პროექტის მოსამზადებელი ეტაპი (მიმდინარეობს პროექტის მომზადებისთვის საჭირო კვლევებისა და ტექნიკური, სოციალური, გარემოსდაცვითი და ინსტიტუციონალური ასპექტების ანალიზის მომზადება)</t>
  </si>
  <si>
    <t>საქართველოს შეიარაღებული ძალების შესაძლებლობების გაძლიერება (მიმდინარეობს)</t>
  </si>
  <si>
    <t>143 დაბალძირიანი, ეკოლოგიურად სუფთა, გაზზე მომუშავე ავტობუსის შეძენა (მიმდინარეობს. ამ ეტაპზე ყველა ავტობუსი მოწოდებულია)</t>
  </si>
  <si>
    <t>ავტობუსების შეძენა (დაგეგმილი)</t>
  </si>
  <si>
    <t>საქართველოს სხვადასხვა რეგიონში (დაახლოებით 200 კმ საერთო სიგრძის) შიდასახელმწიფოებრივი და ადგილობრივი გზების რეაბილიტაცია (მიმდინარეობს სარეაბილიტაციო სამუშაოები)</t>
  </si>
  <si>
    <t>საქართველოს სხვადასხვა რეგიონში (დაახლოებით 225 კმ საერთო სიგრძის) შიდასახელმწიფოებრივი და ადგილობრივი გზების რეაბილიტაცია (მიმდინარეობს სარეაბილიტაციო სამუშაოები)</t>
  </si>
  <si>
    <r>
      <t>ხელშეკრულების ხელმოწერის თარიღი</t>
    </r>
    <r>
      <rPr>
        <b/>
        <sz val="14"/>
        <color theme="1"/>
        <rFont val="Calibri"/>
        <family val="2"/>
      </rPr>
      <t>*</t>
    </r>
  </si>
  <si>
    <t>ნაგავმზიდი მანქანებისა და მყარი ნარჩენების კონტეინერების შეძენა (მიმდინარეობს, შეძენილი იქნა და მუნიციპალიტეტებს გადაეცა დაახლოებით 150 ნაგავმზიდი მანქანა და დაახლოებით 7200 მყარი ნარჩენების კონტეინერი)</t>
  </si>
  <si>
    <t xml:space="preserve"> - ზესტაფონი - ქუთაისის ახალი შემოვლითი გზის მშენებლობა (15.2 კმ) (მიმდინარეობს სამშენებლო სამუშაოები; 14 კმ. გზის მონაკვეთი გახსნილია მოძრაობისთვის);
 - ქუთაისის ახალი შემოვლითი გზის მშენებლობა (სამშენებლო სამუშაოები დასრულდა და შემოვლითი გზის 17.3 კილომეტრიანი მონაკვეთი გაიხსნა 2014 წელს);
 - ქუთაისი - სამტრედიის მონაკვეთზე ახალი გზის მშენებლობა (სამშენებლო სამუშაოები დასრულდა, 24 კილომეტრიან მონაკვეთზე მოძრაობა გახსნილია)</t>
  </si>
  <si>
    <t>თბილისის დაახლოებით 25 საჯარო სკოლის რეკონსტრუქცია-გამაგრება და აღნიშნულ სკოლებში ენერგო ეფექტურობის გაზრდა (მიმდინარეობს მოსამზადებელი სამუშაოები)</t>
  </si>
  <si>
    <t>საქართველოს ტექნიკური უნივერსიტეტის სტრუქტურაში, ჰიდროტექნიკური კვლევების ლაბორატორიის ჩამოყალიბება (მიმდინარეობს)</t>
  </si>
  <si>
    <t xml:space="preserve"> - ბათუმის შემოვლითი, 14.3 კილომეტრიანი, ორ ზოლიანი გზის მშენებლობა  (გაფორმდა ხელშეკრულება მშენებელ-კონტრაქტორთან და საზედამხედველო კომპანიასთან);
 - დაახლოებით 200 კილომეტრი სიგრძის საერთაშორისო და ადგილობრივი გზების მოვლა-შენახვა (დაგეგმილი)</t>
  </si>
  <si>
    <t>ელექტროენერგეტიკის ბაზრის ახალი კონცეფციის შემუშავება (დასრულდა)</t>
  </si>
  <si>
    <t>ქ. ქობულეთში კანალიზაციის გამწმენდი ნაგებობის მშენებლობა (მიმდინარეობს)</t>
  </si>
  <si>
    <t>საქართველოს სხვადასხვა რეგიონში მცირე ზომის ინფრასტრუქტურული პროექტები (გზების, ქუჩების, წყალსადენის, კანალიზაციის სისტემების რეაბილიტაცია) (მიმდინარეობს სამშენებლო სამუშაოები)</t>
  </si>
  <si>
    <t xml:space="preserve"> - ზუგდიდი - მესტიის გზის რეაბილიტაცია (დასრულდა);
 - ანაკლიის ნაპირდაცვა (მიმდინარეობს სამშენებლო სამუშაოები);
 - თბილისი - რუსთავის ავტომაგისტრალის მშენებლობა (მიმდინარეობს სამშენებლო სამუშაოები);
 - თბილისში მეტროს ახალი სადგურის მშენებლობა (დასრულდა);
 - ქალაქ ბათუმში ნაპირდაცვის სამუშაოები (მიმდინარეობს სამშენებლო სამუშაოები)</t>
  </si>
  <si>
    <t>წყალტუბოსა და თელავში საკანალიზაციო სისტემების გამწმენდი ნაგებობების მშენებლობა (მიმდინარეობს სამშენებლო სამუშაოები).</t>
  </si>
  <si>
    <t>- საქართველოს რეგიონებში საჯარო სკოლების რემონტი/რეაბილიტაცია (განხორციელდა 27 სკოლის რემონტი/რეაბილიტაცია; საბუნებისმეტყველო ლაბორატორიებით აღიჭურვა დამატებით 15 საჯარო სკოლა  შიდა ქართლის, სამცხე-ჯავახეთის, რაჭა-ლეჩხუმისა და  ქვემო სვანეთის რეგიონებში; დაიწყო 28 საჯარო სკოლის რეაბილიტაცია კახეთის და ქვემო ქართლის რეგიონებში)
- მასწავლებლების კვალიფიკაციის ამაღლება (დასრულდა პირველი ნაკადის მასწავლებელთა ტრენინგები. 7200-ზე მეტი მასწავლებელი გადამზადდა სწავლების მეთოდოლოგიურ კურსში; დაიწყო მეორე ნაკადის მასწავლებელთა ტრენინგები);
- პროფესიული სასწავლებლების განვითარება (ინფრასტრუქტურის და ინსტიტუციონალური კუთხით);
- უმაღლესი განათლების ხელშეწყობა ტექნიკურ დარგებში (მიმდინარეობს; განხორციელდა სან დიეგოს სახელმწიფო უნივერსიტეტის (SDSU) საქართველოს პარტნიორი უნივერსიტეტების ლაბორატორიების, აუდიტორიების სრული რეაბილიტაცია, აღჭურვა და ახალი ლაბორატორიების მოწყობა).</t>
  </si>
  <si>
    <r>
      <t>ბათუმი - ახალციხის არსებული ორზოლიანი გზის დაახლოებით 29 კმ-იან ხულო-გოდერძის მონაკვეთის რეაბილიტაცია - რეკონსტრუქცია (მიმდინარეობს სატენდერო პროცედურები მშენებელი კონტრაქტორის გამოსავლენად</t>
    </r>
    <r>
      <rPr>
        <sz val="12"/>
        <color theme="1"/>
        <rFont val="Franklin Gothic Book"/>
        <family val="2"/>
        <scheme val="minor"/>
      </rPr>
      <t>)</t>
    </r>
  </si>
  <si>
    <r>
      <t xml:space="preserve"> მესტიაში წყალმომარაგების სათავე ნაგებობის მშენებლობა (დასრულდა), წყალმომარაგებისა და კანალიზაციის ქსელების მშენებლობა - რეაბილიტაცია (სამშენებლო სამუშაოები დასრულდა); წყლის გამწმენდი ნაგებობის, ახალი რეზერვუარების მშენებლობა და არსებული რეზერვუარის რეაბილიტაცია (მიმდინარეობს პროექტირება-მშენებლობა); 
 - ანაკლიაში წყალმომარაგების სათავე ნაგებობის მშენებლობა, წყალმომარაგებისა და კანალიზაციის ქსელების მშენებლობა- რეაბილიტაცია (დასრულდა) და კანალიზაციის გამწმენდი ნაგებობის მშენებლობა (მიმდინარეობს მშენებლობა);
- ქუთაისში წყალმომარაგების სისტემების (რეზერვუარები, სატუმბი სადგურები, წყლის გამანაწილებელი ქსელი) მშენებლობა- რეაბილიტაცია (მიმდინარეობს სამშენებლო სამუშაოები);
- ფოთში წყალმომარაგების სისტემების მშენებლობა - რეაბილიტაცია (მიმდინარეობს სამშენებლო სამუშაოები - ჭაბურღილების მოწყობა); კანალიზაციის სისტემის რეაბილიტაცია (მიმდინარეობს სატენდერო პროცედურები); კანალიზაციის გამწმენდი ნაგებობის რეაბილიტაცია (მიმდინარეობს სატენდერო პროცედურები სამშენებლო კომპანიის შერჩევის მიზნით);
- ურეკში წყალმომარაგებისა და კანალიზაციის სისტემის მშენებლობა (წყლის გამანაწილებელი ქსელი, კანალიზაციის კოლექტორი და გამწმენდი ნაგებობა) (მიმდინარეობს სამშენებლო სამუშაოები);
- ურეკში კანალიზაციის გამწმენდი ნაგებობის მშენებლობა (მიმდინარეობს სამშენებლო სამუშაოები);
- ზუგდიდში წყალმომარაგების სისტემის მშენებლობა-რეაბილიტაცია (მიმდინარეობს სამშენებლო სამუშაოები);
- ზუგდიდში კანალიზაციის სისტემის მშენებლობა-რეაბილიტაცია (მიმდინარეობს სამშენებლო სამუშაოები);  
- ზუგდიდში კანალიზაციის გამწმენდი ნაგებობის მშენებლობა (მიმდინარეობს მშენებელი კომპანიის გამოვლენის პროცედურები);
- ჯვრის წყალმომარაგების სისტემის მშენებლო</t>
    </r>
    <r>
      <rPr>
        <sz val="12"/>
        <rFont val="Franklin Gothic Book"/>
        <family val="2"/>
        <scheme val="minor"/>
      </rPr>
      <t>ბა (მიმდინარეობს სამშენებლო სამუშაოები);</t>
    </r>
    <r>
      <rPr>
        <sz val="12"/>
        <color theme="1"/>
        <rFont val="Franklin Gothic Book"/>
        <family val="2"/>
        <scheme val="minor"/>
      </rPr>
      <t xml:space="preserve">
- ჭიათურაში წყალმომარაგების სისტემის მშენებლობა (მიმდინარეობს მობილიზაცია);
- მარნეულში წყლისა და წყალარინების სისტემების რეაბილიტაცია (მიმდინარეობს სატენდერო პროცედურები)
- აბაშის მაგისტრალური ხაზის მშენებლობა (გაფორმდა ხელშეკრულება)</t>
    </r>
  </si>
  <si>
    <t xml:space="preserve"> - ყაზბეგის ეროვნული პარკის შექმნა;
 - კინტრიშის დაცული ტერიტორის შექმნა;
 - ალგეთის ეროვნული პარკის შექმნა;
 - ფშავ-ხევსურეთის დაცული ტერიტორიის შექმნა.
(მიმდინარეობს ტურიზმის სტრატეგიების, სამოქმედო და საინვესტიციო გეგმების შემუშავება; დაიწყო მენეჯმენტის გეგმის შემუშავება ალგეთის ეროვნული პარკისათვის; გამოცხადდა ტენდერი ფშავ-ხევსურეთის დაცული ტერიტორიების დემარკაციაზე; დაიწყო ალგეთის ეროვნული პარკის ადმინისტრაციის და ვიზიტორთა შენობის მშენებლობა; დაიწყო ყაზბეგის ეროვნული პარკის ადმინისტრაციის და ვიზიტორთა შენობის მშენებლობა; მიმდინარეობს პრომეთეს მღვიმის საგამოფენო დარბაზის მოწყობა; მიმდინარეობს დუშეთის მუნიციპალიტეტში დაცული ლანდშაფტის შექმნისათვის კანონპროექტის შემუშავება)</t>
  </si>
  <si>
    <t>ქობულეთის ახალი შემოვლითი გზის მშენებლობა (დაახლოებით 32 კმ სიგრძე) (პირველი მონაკვეთი (12.4 კმ + 1.3 კმ) გახსნილია, მეორე მონაკვეთზე მიმდინარეობს სამშენებლო სამუშაოები)</t>
  </si>
  <si>
    <t>2017 წლის 30 ნოემბრის მდგომარეობით (ათას ერთეულში)</t>
  </si>
  <si>
    <t xml:space="preserve"> - ზემო ოსიაური - ჩუმათელეთის მონაკვეთზე (დაახლოებით 14.1 კმ) ავტომაგისტრალის მშენებლობა (ლოტი I და ლოტი II) (მიმდინარეობს მოსამზადებელი და სამობილიზაციო სამუშაოები);
 - საავტომობილო გზების დეპარტამენტის ინსტიტუციონალური განვითარება;
 -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ტექნიკურ-ეკონომიკური კვლევის მომზადებასთან დაკავშირებით (დასრულდა);
 - საგზაო ქსელის განვითარების მიზნით მომავალი საინვესტიციო პროექტების დეტალური პროექტებისა და ტექნიკურ-ეკონომიკური დასაბუთების მომზადება (დაგეგმილი)</t>
  </si>
  <si>
    <t>საქართველოსა და სომხეთის რესპუბლიკის სახელმწიფო საზღვრის სადახლო - ბაგრატაშენის სასაზღვრო გამტარ პუნქტებზე ახალი ხიდის მშენებლობა (მიმდინარეობს მშენებელ კონტრაქტორთან ხელშეკრულების გაფორმებისთვის საჭირო პროცედურები; მიმდინარეობს სატენდერო პროცედურები საზედამხედველო კომპანიის გამოსავლენად).</t>
  </si>
  <si>
    <t xml:space="preserve"> - საქართველოს სხვადასხვა ქალაქსა და სოფელში ინოვაციური ჰაბებისა და ცენტრების ქსელის განვითარება (მიმდინარეობს მოსამზადებელი სამუშაოები ინოვაციური ჰაბებისა და ცენტრების გახსნის მიზნით, კერძოდ, ამ ეტაპზე შერჩეულია ინოვაციური ცენტრებისა და ჰაბების განლაგების ადგილები შემდეგ ქალაქებში: ინოვაციური ჰაბები - თელავი, ქუთაისი, გორი; ინოვაციური ცენტრები - ახმეტა, ქარელი, რუხი, მესტია);
 - საქართველოს რეგიონებში მცირე და საშუალო ზომის საწარმოების/საოჯახო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 (შემუშავებულია ფართომასშტაბიანი ინტერნეტ მომსახურების პროგრამის სახელმძღვანელო);
 - ინდივიდუალური პირებისა და ფირმების ინოვაციური შესაძლებლობების განვითარება (შემუშავდა სამოქმედო გეგმა ქვეყნის მოსახლეობისთვის ინოვაციების სერვისების მიწოდების კუთხით; მიმდინარეობს მუშაობა წილობრივი გრანტების სახელმძღვანელოს შემუშავების მიზნით)</t>
  </si>
  <si>
    <r>
      <t xml:space="preserve"> - სამტრედია - გრიგოლეთის მონაკვეთზე (დაახლოებით 52 კმ) ახალი ოთხზოლიანი ავტომაგისტრალის მშენებლობა</t>
    </r>
    <r>
      <rPr>
        <sz val="12"/>
        <color rgb="FFFF0000"/>
        <rFont val="Franklin Gothic Book"/>
        <family val="2"/>
        <scheme val="minor"/>
      </rPr>
      <t xml:space="preserve"> </t>
    </r>
    <r>
      <rPr>
        <sz val="12"/>
        <color theme="1"/>
        <rFont val="Franklin Gothic Book"/>
        <family val="2"/>
        <scheme val="minor"/>
      </rPr>
      <t xml:space="preserve">(სამშენებლო სამუშაოები მიმდინარეობს II, III და IV ლოტის ფარგლებში);
</t>
    </r>
    <r>
      <rPr>
        <sz val="12"/>
        <color rgb="FFFF0000"/>
        <rFont val="Franklin Gothic Book"/>
        <family val="2"/>
        <scheme val="minor"/>
      </rPr>
      <t xml:space="preserve"> </t>
    </r>
    <r>
      <rPr>
        <sz val="12"/>
        <rFont val="Franklin Gothic Book"/>
        <family val="2"/>
        <scheme val="minor"/>
      </rPr>
      <t>- ფოთი-გრიგოლეთის მონაკვეთი (მიმდინარეობს დეტალური პროექტის მომზადების სამუშაოები);
 - გრიგოლეთი-ქობულეთის შემოვლითი გზა (მიმდინარეობს შესყიდვის პროცედურები მშენებლობისთვის).</t>
    </r>
  </si>
  <si>
    <r>
      <t xml:space="preserve"> - გურიის რეგიონში შერჩეული შიდასახელმწიფოებრივი გზების მონაკვეთების რეაბილიტაცია, პერიოდული და მიმდინარე მოვლა შენახვა, ტექნიკური სამუშაოები (დაგეგმილი);
 - მცხეთა-მთიანეთში, რაჭა-ლეჩხუმსა და შიდა ქართლის რეგიონებში შერჩეული შიდასახელმწიფოებრივი გზების მონაკვეთების რეაბილიტ</t>
    </r>
    <r>
      <rPr>
        <sz val="12"/>
        <rFont val="Franklin Gothic Book"/>
        <family val="2"/>
        <scheme val="minor"/>
      </rPr>
      <t>აცია (მიმდინარეობს);</t>
    </r>
    <r>
      <rPr>
        <sz val="12"/>
        <color theme="1"/>
        <rFont val="Franklin Gothic Book"/>
        <family val="2"/>
        <scheme val="minor"/>
      </rPr>
      <t xml:space="preserve">
 - სამშენებლო კონტრაქტების მონიტორინგი და ზედამხედველობა (4 საგზაო მონაკვეთის სარეაბილიტაციო სამუშაოების ზედამხედველობა - მიმდინარეობს).</t>
    </r>
  </si>
  <si>
    <r>
      <t xml:space="preserve">საქართველოს სხვადასხვა რეგიონში მცირემიწიან ფერმერთა შემოსავლების ზრდის მხარდაჭერა და სოფლის მეურნეობის პროდუქციის წარმოება/გადამუშავება/რეალიზაციის კუთხით ინვესტიციების ხელშეწყობა (მოეწყო ხეხილის 4, ბოსტნეულის 2 და კენკროვანი კულტურის 3 სადემონტრაციო ნაკვეთი კახეთის, შიდა ქართლის, აჭარის და სამეგრელოს რეგიონებში);
- მცირე და დიდი გრანტები ფერმერებისთვის და საწარმოებისთვის- მიმდინარეობს პოტენციურ ბენეფიციარებთან ინტესიური შეხვედრები  (გაცემულია 105 მცირე და დიდი გრანტი);
- გორის მუნიციპალიტეტში ტირიფონის სარწყავი სისტემის გამანაწილებელის არხის რეაბილიტაცია (მიმდინარეობს);
- სენაკისა (სოფლები: ძველი სენაკი, ბეთლემი და უშაფათი) და მარტვილის (სოფლები: ნაგვაზაო, აბედათი, ჯოლევი)  მუნიციპალიტეტებში  სოფლის გზებისა და ხიდების მშენებლობა/რეაბილიტაცია (დასრულდა); </t>
    </r>
    <r>
      <rPr>
        <sz val="12"/>
        <color rgb="FFFF0000"/>
        <rFont val="Franklin Gothic Book"/>
        <family val="2"/>
        <scheme val="minor"/>
      </rPr>
      <t xml:space="preserve">
</t>
    </r>
    <r>
      <rPr>
        <sz val="12"/>
        <color theme="1"/>
        <rFont val="Franklin Gothic Book"/>
        <family val="2"/>
        <scheme val="minor"/>
      </rPr>
      <t>- ძევერა-შერთულას საირიგაციო სისტემის შიდა ქსელების რეაბილიტაცია (მიმდინარეობს);</t>
    </r>
    <r>
      <rPr>
        <sz val="12"/>
        <color rgb="FFFF0000"/>
        <rFont val="Franklin Gothic Book"/>
        <family val="2"/>
        <scheme val="minor"/>
      </rPr>
      <t xml:space="preserve">
</t>
    </r>
    <r>
      <rPr>
        <sz val="12"/>
        <rFont val="Franklin Gothic Book"/>
        <family val="2"/>
        <scheme val="minor"/>
      </rPr>
      <t>- მიმდინარეობს დეტალური საინჟინრო პროექტის მომზადება სამი სარწყავი სისტემის გამანაწილებლების და შიდა ქსელის რეაბილიტაციისთვის (ტაშისკარი, ქვემო ალაზანი, სალთვისი);
- შიდა ქართლში (ქარელი, გორი) და სამეგრელოში (ხობი) სოფლის მცირე ინფრასტრუქტურის (გზები და ხიდები) რეაბილიტაციის დეტალური დიზაინის მომზადება (მიმდინარეობს);</t>
    </r>
    <r>
      <rPr>
        <sz val="12"/>
        <color rgb="FFFF0000"/>
        <rFont val="Franklin Gothic Book"/>
        <family val="2"/>
        <scheme val="minor"/>
      </rPr>
      <t xml:space="preserve">
</t>
    </r>
    <r>
      <rPr>
        <sz val="12"/>
        <color theme="1"/>
        <rFont val="Franklin Gothic Book"/>
        <family val="2"/>
        <scheme val="minor"/>
      </rPr>
      <t>- კახეთის რეგიონში, ლაგოდეხის მუნიციპალიტეტში, სოფელ გიორგეთში, მდინარე კაბალის ნაპირსამაგრი სამუშაოები (მიმდინარეობს)</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</si>
</sst>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dd\.mm\.yyyy"/>
    <numFmt numFmtId="166" formatCode="#,##0.00000"/>
  </numFmts>
  <fonts count="18" x14ac:knownFonts="1">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4"/>
      <name val="Franklin Gothic Book"/>
      <family val="2"/>
      <scheme val="minor"/>
    </font>
    <font>
      <b/>
      <sz val="12"/>
      <name val="Franklin Gothic Book"/>
      <family val="2"/>
      <scheme val="minor"/>
    </font>
    <font>
      <sz val="12"/>
      <color rgb="FFFF0000"/>
      <name val="Franklin Gothic Book"/>
      <family val="2"/>
      <scheme val="minor"/>
    </font>
    <font>
      <sz val="12"/>
      <name val="Arial"/>
      <family val="2"/>
      <charset val="204"/>
    </font>
    <font>
      <b/>
      <sz val="14"/>
      <color theme="1"/>
      <name val="Franklin Gothic Book"/>
      <family val="2"/>
      <scheme val="minor"/>
    </font>
    <font>
      <b/>
      <sz val="14"/>
      <color theme="1"/>
      <name val="Calibri"/>
      <family val="2"/>
    </font>
    <font>
      <sz val="14"/>
      <color theme="1"/>
      <name val="Franklin Gothic Book"/>
      <family val="2"/>
      <scheme val="minor"/>
    </font>
    <font>
      <sz val="12"/>
      <color theme="1"/>
      <name val="Franklin Gothic Book"/>
      <family val="1"/>
      <scheme val="minor"/>
    </font>
    <font>
      <sz val="12"/>
      <name val="Franklin Gothic Book"/>
      <family val="1"/>
      <scheme val="minor"/>
    </font>
  </fonts>
  <fills count="6">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CCFFCC"/>
        <bgColor indexed="64"/>
      </patternFill>
    </fill>
  </fills>
  <borders count="3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medium">
        <color indexed="64"/>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medium">
        <color indexed="64"/>
      </right>
      <top style="medium">
        <color indexed="64"/>
      </top>
      <bottom style="dotted">
        <color theme="1" tint="4.9989318521683403E-2"/>
      </bottom>
      <diagonal/>
    </border>
    <border>
      <left style="medium">
        <color indexed="64"/>
      </left>
      <right style="dotted">
        <color theme="1" tint="4.9989318521683403E-2"/>
      </right>
      <top style="dotted">
        <color theme="1" tint="4.9989318521683403E-2"/>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1" tint="4.9989318521683403E-2"/>
      </left>
      <right style="medium">
        <color indexed="64"/>
      </right>
      <top style="dotted">
        <color theme="1" tint="4.9989318521683403E-2"/>
      </top>
      <bottom style="dotted">
        <color theme="1" tint="4.9989318521683403E-2"/>
      </bottom>
      <diagonal/>
    </border>
    <border>
      <left style="medium">
        <color indexed="64"/>
      </left>
      <right style="dotted">
        <color theme="1" tint="4.9989318521683403E-2"/>
      </right>
      <top style="dotted">
        <color theme="1" tint="4.9989318521683403E-2"/>
      </top>
      <bottom style="medium">
        <color indexed="64"/>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otted">
        <color theme="1" tint="4.9989318521683403E-2"/>
      </left>
      <right style="medium">
        <color indexed="64"/>
      </right>
      <top style="dotted">
        <color theme="1" tint="4.9989318521683403E-2"/>
      </top>
      <bottom style="medium">
        <color indexed="64"/>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0" tint="-0.499984740745262"/>
      </left>
      <right style="medium">
        <color indexed="64"/>
      </right>
      <top style="medium">
        <color indexed="64"/>
      </top>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s>
  <cellStyleXfs count="16">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1" fillId="0" borderId="0" applyFont="0" applyFill="0" applyBorder="0" applyAlignment="0" applyProtection="0"/>
  </cellStyleXfs>
  <cellXfs count="176">
    <xf numFmtId="0" fontId="0" fillId="0" borderId="0" xfId="0"/>
    <xf numFmtId="0" fontId="6" fillId="0" borderId="0" xfId="1" applyFont="1" applyFill="1" applyBorder="1" applyAlignment="1">
      <alignment vertical="center"/>
    </xf>
    <xf numFmtId="164" fontId="6" fillId="0" borderId="0" xfId="1" applyNumberFormat="1" applyFont="1" applyFill="1" applyBorder="1" applyAlignment="1">
      <alignment vertical="center"/>
    </xf>
    <xf numFmtId="0" fontId="6" fillId="0" borderId="0" xfId="1" applyFont="1" applyFill="1" applyBorder="1" applyAlignment="1">
      <alignment vertical="center" wrapText="1"/>
    </xf>
    <xf numFmtId="0" fontId="6"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49" fontId="5" fillId="0" borderId="0" xfId="1" applyNumberFormat="1" applyFont="1" applyFill="1" applyBorder="1" applyAlignment="1">
      <alignment vertical="center"/>
    </xf>
    <xf numFmtId="0" fontId="7" fillId="0" borderId="0" xfId="1" applyFont="1" applyFill="1" applyBorder="1" applyAlignment="1">
      <alignment vertical="center"/>
    </xf>
    <xf numFmtId="0" fontId="8" fillId="0" borderId="0" xfId="1" applyFont="1" applyFill="1" applyBorder="1" applyAlignment="1">
      <alignment vertical="center"/>
    </xf>
    <xf numFmtId="164" fontId="9" fillId="0" borderId="0" xfId="1" applyNumberFormat="1" applyFont="1" applyFill="1" applyBorder="1" applyAlignment="1">
      <alignment vertical="center"/>
    </xf>
    <xf numFmtId="0" fontId="11" fillId="0" borderId="0" xfId="1" applyFont="1" applyFill="1" applyBorder="1" applyAlignment="1">
      <alignment vertical="center"/>
    </xf>
    <xf numFmtId="166" fontId="7" fillId="0" borderId="0" xfId="1" applyNumberFormat="1" applyFont="1" applyFill="1" applyBorder="1" applyAlignment="1">
      <alignment vertical="center"/>
    </xf>
    <xf numFmtId="164" fontId="8" fillId="0" borderId="0" xfId="1" applyNumberFormat="1" applyFont="1" applyFill="1" applyBorder="1" applyAlignment="1">
      <alignment vertical="center"/>
    </xf>
    <xf numFmtId="49" fontId="10" fillId="0" borderId="0" xfId="1" applyNumberFormat="1" applyFont="1" applyFill="1" applyBorder="1" applyAlignment="1" applyProtection="1">
      <alignment horizontal="left" vertical="center" wrapText="1" readingOrder="1"/>
      <protection locked="0"/>
    </xf>
    <xf numFmtId="0" fontId="6" fillId="0" borderId="0" xfId="1" applyFont="1" applyFill="1" applyBorder="1" applyAlignment="1">
      <alignment vertical="center"/>
    </xf>
    <xf numFmtId="164" fontId="6" fillId="0" borderId="0" xfId="1" applyNumberFormat="1" applyFont="1" applyFill="1" applyBorder="1" applyAlignment="1">
      <alignment vertical="center"/>
    </xf>
    <xf numFmtId="0" fontId="6" fillId="0" borderId="0" xfId="1" applyFont="1" applyFill="1" applyBorder="1" applyAlignment="1">
      <alignment vertical="center" wrapText="1"/>
    </xf>
    <xf numFmtId="49" fontId="6" fillId="0" borderId="0" xfId="1" applyNumberFormat="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left" vertical="center" wrapText="1" readingOrder="1"/>
      <protection locked="0"/>
    </xf>
    <xf numFmtId="165" fontId="5" fillId="0" borderId="13" xfId="1" applyNumberFormat="1" applyFont="1" applyFill="1" applyBorder="1" applyAlignment="1">
      <alignment horizontal="center" vertical="center" wrapText="1"/>
    </xf>
    <xf numFmtId="0" fontId="13" fillId="0" borderId="0" xfId="1" applyFont="1" applyFill="1" applyBorder="1" applyAlignment="1">
      <alignment vertical="center"/>
    </xf>
    <xf numFmtId="0" fontId="13" fillId="0" borderId="0" xfId="1" applyFont="1" applyFill="1" applyBorder="1" applyAlignment="1">
      <alignment vertical="center" wrapText="1"/>
    </xf>
    <xf numFmtId="164" fontId="13" fillId="0" borderId="0" xfId="1" applyNumberFormat="1" applyFont="1" applyFill="1" applyBorder="1" applyAlignment="1">
      <alignment vertical="center"/>
    </xf>
    <xf numFmtId="49" fontId="13"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5" fillId="3" borderId="0" xfId="1" applyNumberFormat="1" applyFont="1" applyFill="1" applyBorder="1" applyAlignment="1">
      <alignment horizontal="center" vertical="center" wrapText="1"/>
    </xf>
    <xf numFmtId="0" fontId="15" fillId="3" borderId="0" xfId="1" applyFont="1" applyFill="1" applyBorder="1" applyAlignment="1">
      <alignment horizontal="center" vertical="center" wrapText="1"/>
    </xf>
    <xf numFmtId="0" fontId="5" fillId="3" borderId="0" xfId="11" applyNumberFormat="1" applyFont="1" applyFill="1" applyBorder="1" applyAlignment="1">
      <alignment horizontal="center" vertical="center" wrapText="1"/>
    </xf>
    <xf numFmtId="49" fontId="5" fillId="3" borderId="11" xfId="11" applyNumberFormat="1" applyFont="1" applyFill="1" applyBorder="1" applyAlignment="1">
      <alignment horizontal="center" vertical="center" wrapText="1"/>
    </xf>
    <xf numFmtId="164" fontId="13" fillId="4" borderId="4" xfId="1" applyNumberFormat="1" applyFont="1" applyFill="1" applyBorder="1" applyAlignment="1">
      <alignment horizontal="center" vertical="center"/>
    </xf>
    <xf numFmtId="164" fontId="15" fillId="4" borderId="3" xfId="1" applyNumberFormat="1" applyFont="1" applyFill="1" applyBorder="1" applyAlignment="1">
      <alignment horizontal="center" vertical="center"/>
    </xf>
    <xf numFmtId="49" fontId="13" fillId="4" borderId="2"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wrapText="1"/>
    </xf>
    <xf numFmtId="0" fontId="5" fillId="0" borderId="17" xfId="1" applyFont="1" applyFill="1" applyBorder="1" applyAlignment="1">
      <alignment vertical="center" wrapText="1"/>
    </xf>
    <xf numFmtId="43" fontId="5" fillId="0" borderId="13" xfId="15" applyFont="1" applyFill="1" applyBorder="1" applyAlignment="1">
      <alignment horizontal="center" vertical="center"/>
    </xf>
    <xf numFmtId="165" fontId="5" fillId="2" borderId="13" xfId="1" applyNumberFormat="1" applyFont="1" applyFill="1" applyBorder="1" applyAlignment="1">
      <alignment horizontal="center" vertical="center" wrapText="1"/>
    </xf>
    <xf numFmtId="0" fontId="5" fillId="0" borderId="19" xfId="1" applyFont="1" applyFill="1" applyBorder="1" applyAlignment="1">
      <alignment vertical="center" wrapText="1"/>
    </xf>
    <xf numFmtId="165" fontId="5" fillId="0" borderId="14" xfId="1" applyNumberFormat="1" applyFont="1" applyFill="1" applyBorder="1" applyAlignment="1">
      <alignment horizontal="center" vertical="center" wrapText="1"/>
    </xf>
    <xf numFmtId="164" fontId="5" fillId="0" borderId="14" xfId="1" applyNumberFormat="1" applyFont="1" applyFill="1" applyBorder="1" applyAlignment="1">
      <alignment horizontal="center" vertical="center"/>
    </xf>
    <xf numFmtId="164" fontId="5" fillId="0" borderId="14" xfId="1" applyNumberFormat="1" applyFont="1" applyFill="1" applyBorder="1" applyAlignment="1">
      <alignment horizontal="center" vertical="center" wrapText="1"/>
    </xf>
    <xf numFmtId="164" fontId="13" fillId="3" borderId="4" xfId="1" applyNumberFormat="1" applyFont="1" applyFill="1" applyBorder="1" applyAlignment="1">
      <alignment horizontal="center" vertical="center"/>
    </xf>
    <xf numFmtId="164" fontId="15" fillId="3" borderId="3" xfId="1" applyNumberFormat="1" applyFont="1" applyFill="1" applyBorder="1" applyAlignment="1">
      <alignment horizontal="center" vertical="center"/>
    </xf>
    <xf numFmtId="49" fontId="13" fillId="3" borderId="2" xfId="1" applyNumberFormat="1" applyFont="1" applyFill="1" applyBorder="1" applyAlignment="1">
      <alignment horizontal="center" vertical="center"/>
    </xf>
    <xf numFmtId="0" fontId="5" fillId="0" borderId="21" xfId="1" applyFont="1" applyFill="1" applyBorder="1" applyAlignment="1">
      <alignment horizontal="left" vertical="center" wrapText="1"/>
    </xf>
    <xf numFmtId="165" fontId="5" fillId="0" borderId="22" xfId="1" applyNumberFormat="1" applyFont="1" applyFill="1" applyBorder="1" applyAlignment="1">
      <alignment horizontal="center" vertical="center" wrapText="1"/>
    </xf>
    <xf numFmtId="164" fontId="5" fillId="0" borderId="22" xfId="1" applyNumberFormat="1" applyFont="1" applyFill="1" applyBorder="1" applyAlignment="1">
      <alignment horizontal="center" vertical="center"/>
    </xf>
    <xf numFmtId="164" fontId="5" fillId="0" borderId="22" xfId="1" applyNumberFormat="1" applyFont="1" applyFill="1" applyBorder="1" applyAlignment="1">
      <alignment horizontal="center" vertical="center" wrapText="1"/>
    </xf>
    <xf numFmtId="49" fontId="5" fillId="0" borderId="23" xfId="1" applyNumberFormat="1" applyFont="1" applyFill="1" applyBorder="1" applyAlignment="1">
      <alignment horizontal="left" vertical="center" wrapText="1"/>
    </xf>
    <xf numFmtId="165" fontId="5" fillId="2" borderId="25" xfId="1" applyNumberFormat="1" applyFont="1" applyFill="1" applyBorder="1" applyAlignment="1">
      <alignment horizontal="center" vertical="center" wrapText="1"/>
    </xf>
    <xf numFmtId="164" fontId="5" fillId="0" borderId="25" xfId="1" quotePrefix="1" applyNumberFormat="1" applyFont="1" applyFill="1" applyBorder="1" applyAlignment="1">
      <alignment horizontal="center" vertical="center"/>
    </xf>
    <xf numFmtId="164" fontId="5" fillId="2" borderId="25" xfId="1" applyNumberFormat="1" applyFont="1" applyFill="1" applyBorder="1" applyAlignment="1">
      <alignment horizontal="center" vertical="center"/>
    </xf>
    <xf numFmtId="43" fontId="5" fillId="0" borderId="25" xfId="15" applyFont="1" applyFill="1" applyBorder="1" applyAlignment="1">
      <alignment horizontal="center" vertical="center"/>
    </xf>
    <xf numFmtId="0" fontId="5" fillId="0" borderId="27" xfId="1" applyFont="1" applyFill="1" applyBorder="1" applyAlignment="1">
      <alignment horizontal="left" vertical="center" wrapText="1"/>
    </xf>
    <xf numFmtId="165" fontId="5" fillId="0" borderId="28" xfId="1" applyNumberFormat="1" applyFont="1" applyFill="1" applyBorder="1" applyAlignment="1">
      <alignment horizontal="center" vertical="center" wrapText="1"/>
    </xf>
    <xf numFmtId="164" fontId="5" fillId="0" borderId="28" xfId="1" applyNumberFormat="1" applyFont="1" applyFill="1" applyBorder="1" applyAlignment="1">
      <alignment horizontal="center" vertical="center"/>
    </xf>
    <xf numFmtId="43" fontId="5" fillId="0" borderId="28" xfId="15" applyFont="1" applyFill="1" applyBorder="1" applyAlignment="1">
      <alignment horizontal="center" vertical="center"/>
    </xf>
    <xf numFmtId="164" fontId="5" fillId="5" borderId="28" xfId="1" applyNumberFormat="1" applyFont="1" applyFill="1" applyBorder="1" applyAlignment="1">
      <alignment horizontal="center" vertical="center" wrapText="1"/>
    </xf>
    <xf numFmtId="49" fontId="5" fillId="0" borderId="29" xfId="1" applyNumberFormat="1" applyFont="1" applyFill="1" applyBorder="1" applyAlignment="1">
      <alignment horizontal="left" vertical="center" wrapText="1"/>
    </xf>
    <xf numFmtId="0" fontId="5" fillId="0" borderId="15" xfId="1" applyFont="1" applyFill="1" applyBorder="1" applyAlignment="1">
      <alignment horizontal="left" vertical="center" wrapText="1"/>
    </xf>
    <xf numFmtId="165" fontId="5" fillId="0" borderId="12" xfId="1" applyNumberFormat="1" applyFont="1" applyFill="1" applyBorder="1" applyAlignment="1">
      <alignment horizontal="center" vertical="center" wrapText="1"/>
    </xf>
    <xf numFmtId="164" fontId="5" fillId="2" borderId="12"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wrapText="1"/>
    </xf>
    <xf numFmtId="49" fontId="5" fillId="0" borderId="16" xfId="1" applyNumberFormat="1" applyFont="1" applyFill="1" applyBorder="1" applyAlignment="1">
      <alignment horizontal="left" vertical="center" wrapText="1"/>
    </xf>
    <xf numFmtId="0" fontId="5" fillId="0" borderId="17" xfId="1" applyFont="1" applyFill="1" applyBorder="1" applyAlignment="1">
      <alignment horizontal="left" vertical="center" wrapText="1"/>
    </xf>
    <xf numFmtId="164" fontId="5" fillId="2" borderId="13" xfId="1" applyNumberFormat="1" applyFont="1" applyFill="1" applyBorder="1" applyAlignment="1">
      <alignment horizontal="center" vertical="center"/>
    </xf>
    <xf numFmtId="49" fontId="5" fillId="0" borderId="18" xfId="1" applyNumberFormat="1" applyFont="1" applyFill="1" applyBorder="1" applyAlignment="1">
      <alignment horizontal="left" vertical="center" wrapText="1"/>
    </xf>
    <xf numFmtId="0" fontId="5" fillId="0" borderId="19" xfId="1" applyFont="1" applyFill="1" applyBorder="1" applyAlignment="1">
      <alignment horizontal="left" vertical="center" wrapText="1"/>
    </xf>
    <xf numFmtId="164" fontId="5" fillId="2" borderId="14" xfId="1" applyNumberFormat="1" applyFont="1" applyFill="1" applyBorder="1" applyAlignment="1">
      <alignment horizontal="center" vertical="center"/>
    </xf>
    <xf numFmtId="49" fontId="5" fillId="0" borderId="20" xfId="1" applyNumberFormat="1" applyFont="1" applyFill="1" applyBorder="1" applyAlignment="1">
      <alignment horizontal="left" vertical="center" wrapText="1"/>
    </xf>
    <xf numFmtId="164" fontId="16" fillId="0" borderId="13" xfId="1" applyNumberFormat="1" applyFont="1" applyFill="1" applyBorder="1" applyAlignment="1">
      <alignment horizontal="center" vertical="center"/>
    </xf>
    <xf numFmtId="49" fontId="5" fillId="2" borderId="18" xfId="1" applyNumberFormat="1" applyFont="1" applyFill="1" applyBorder="1" applyAlignment="1">
      <alignment horizontal="left" vertical="center" wrapText="1"/>
    </xf>
    <xf numFmtId="0" fontId="5" fillId="0" borderId="17" xfId="4" applyFont="1" applyFill="1" applyBorder="1" applyAlignment="1">
      <alignment horizontal="left" vertical="center" wrapText="1"/>
    </xf>
    <xf numFmtId="165" fontId="5" fillId="2" borderId="12"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xf>
    <xf numFmtId="165" fontId="5" fillId="2" borderId="13" xfId="1" applyNumberFormat="1" applyFont="1" applyFill="1" applyBorder="1" applyAlignment="1">
      <alignment horizontal="center" vertical="center"/>
    </xf>
    <xf numFmtId="165" fontId="5" fillId="0" borderId="13" xfId="1" applyNumberFormat="1" applyFont="1" applyFill="1" applyBorder="1" applyAlignment="1">
      <alignment horizontal="center" vertical="center"/>
    </xf>
    <xf numFmtId="165" fontId="5" fillId="2" borderId="14" xfId="1" applyNumberFormat="1" applyFont="1" applyFill="1" applyBorder="1" applyAlignment="1">
      <alignment horizontal="center" vertical="center" wrapText="1"/>
    </xf>
    <xf numFmtId="164" fontId="15" fillId="0" borderId="3" xfId="1" applyNumberFormat="1" applyFont="1" applyFill="1" applyBorder="1" applyAlignment="1">
      <alignment horizontal="center" vertical="center"/>
    </xf>
    <xf numFmtId="49" fontId="5" fillId="2" borderId="20" xfId="1" applyNumberFormat="1" applyFont="1" applyFill="1" applyBorder="1" applyAlignment="1">
      <alignment horizontal="left" vertical="center" wrapText="1"/>
    </xf>
    <xf numFmtId="49" fontId="5" fillId="0" borderId="18" xfId="1" applyNumberFormat="1" applyFont="1" applyFill="1" applyBorder="1" applyAlignment="1">
      <alignment vertical="center"/>
    </xf>
    <xf numFmtId="3" fontId="13" fillId="0" borderId="0" xfId="1" applyNumberFormat="1" applyFont="1" applyFill="1" applyBorder="1" applyAlignment="1">
      <alignment horizontal="right" vertical="center"/>
    </xf>
    <xf numFmtId="164" fontId="13" fillId="0" borderId="0" xfId="1" applyNumberFormat="1" applyFont="1" applyFill="1" applyBorder="1" applyAlignment="1">
      <alignment horizontal="center" vertical="center" wrapText="1"/>
    </xf>
    <xf numFmtId="0" fontId="15" fillId="0" borderId="0" xfId="1" applyFont="1" applyFill="1" applyBorder="1" applyAlignment="1">
      <alignment vertical="center"/>
    </xf>
    <xf numFmtId="164" fontId="13" fillId="0" borderId="0" xfId="1" applyNumberFormat="1" applyFont="1" applyFill="1" applyBorder="1" applyAlignment="1">
      <alignment horizontal="center" vertical="center"/>
    </xf>
    <xf numFmtId="165" fontId="16" fillId="2" borderId="13" xfId="1" applyNumberFormat="1" applyFont="1" applyFill="1" applyBorder="1" applyAlignment="1">
      <alignment horizontal="center" vertical="center" wrapText="1"/>
    </xf>
    <xf numFmtId="0" fontId="5" fillId="2" borderId="17" xfId="1" applyFont="1" applyFill="1" applyBorder="1" applyAlignment="1">
      <alignment horizontal="left" vertical="center" wrapText="1"/>
    </xf>
    <xf numFmtId="49" fontId="6" fillId="2" borderId="18" xfId="1" applyNumberFormat="1" applyFont="1" applyFill="1" applyBorder="1" applyAlignment="1">
      <alignment horizontal="left" vertical="center" wrapText="1"/>
    </xf>
    <xf numFmtId="49" fontId="5" fillId="0" borderId="18" xfId="1" applyNumberFormat="1" applyFont="1" applyFill="1" applyBorder="1" applyAlignment="1">
      <alignment horizontal="left" vertical="center" wrapText="1"/>
    </xf>
    <xf numFmtId="0" fontId="5" fillId="2" borderId="17" xfId="1" applyFont="1" applyFill="1" applyBorder="1" applyAlignment="1">
      <alignment vertical="center" wrapText="1"/>
    </xf>
    <xf numFmtId="165" fontId="5"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wrapText="1"/>
    </xf>
    <xf numFmtId="164" fontId="5" fillId="0" borderId="25" xfId="1" applyNumberFormat="1" applyFont="1" applyFill="1" applyBorder="1" applyAlignment="1">
      <alignment horizontal="center" vertical="center"/>
    </xf>
    <xf numFmtId="0" fontId="5" fillId="0" borderId="24" xfId="4" applyFont="1" applyFill="1" applyBorder="1" applyAlignment="1">
      <alignment horizontal="left" vertical="center" wrapText="1"/>
    </xf>
    <xf numFmtId="165" fontId="5" fillId="0" borderId="25" xfId="1" applyNumberFormat="1" applyFont="1" applyFill="1" applyBorder="1" applyAlignment="1">
      <alignment horizontal="center" vertical="center" wrapText="1"/>
    </xf>
    <xf numFmtId="0" fontId="5" fillId="0" borderId="24" xfId="1" applyFont="1" applyFill="1" applyBorder="1" applyAlignment="1">
      <alignment horizontal="left" vertical="center" wrapText="1"/>
    </xf>
    <xf numFmtId="49" fontId="5" fillId="0" borderId="26" xfId="1" applyNumberFormat="1" applyFont="1" applyFill="1" applyBorder="1" applyAlignment="1">
      <alignment horizontal="left" vertical="center" wrapText="1"/>
    </xf>
    <xf numFmtId="164" fontId="5" fillId="0" borderId="25" xfId="1" applyNumberFormat="1" applyFont="1" applyFill="1" applyBorder="1" applyAlignment="1">
      <alignment horizontal="center" vertical="center" wrapText="1"/>
    </xf>
    <xf numFmtId="49" fontId="6" fillId="0" borderId="18" xfId="1" applyNumberFormat="1" applyFont="1" applyFill="1" applyBorder="1" applyAlignment="1">
      <alignment horizontal="left" vertical="center" wrapText="1"/>
    </xf>
    <xf numFmtId="0" fontId="6" fillId="0" borderId="17" xfId="1" applyFont="1" applyFill="1" applyBorder="1" applyAlignment="1">
      <alignment horizontal="left" vertical="center" wrapText="1"/>
    </xf>
    <xf numFmtId="165" fontId="6" fillId="0" borderId="13"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xf>
    <xf numFmtId="43" fontId="6" fillId="0" borderId="13" xfId="15" applyFont="1" applyFill="1" applyBorder="1" applyAlignment="1">
      <alignment horizontal="center" vertical="center"/>
    </xf>
    <xf numFmtId="164" fontId="6"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xf>
    <xf numFmtId="49" fontId="5" fillId="0" borderId="18" xfId="1" applyNumberFormat="1" applyFont="1" applyFill="1" applyBorder="1" applyAlignment="1">
      <alignment horizontal="left" vertical="center" wrapText="1"/>
    </xf>
    <xf numFmtId="164" fontId="5" fillId="0" borderId="13" xfId="1" applyNumberFormat="1" applyFont="1" applyFill="1" applyBorder="1" applyAlignment="1">
      <alignment horizontal="center" vertical="center"/>
    </xf>
    <xf numFmtId="49" fontId="6" fillId="0" borderId="20" xfId="1" applyNumberFormat="1" applyFont="1" applyFill="1" applyBorder="1" applyAlignment="1">
      <alignment horizontal="left" vertical="center" wrapText="1"/>
    </xf>
    <xf numFmtId="49" fontId="6" fillId="0" borderId="16" xfId="1" applyNumberFormat="1" applyFont="1" applyFill="1" applyBorder="1" applyAlignment="1">
      <alignment horizontal="left" vertical="center" wrapText="1"/>
    </xf>
    <xf numFmtId="164" fontId="17" fillId="0" borderId="13"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0" fontId="13" fillId="4" borderId="6" xfId="1" applyNumberFormat="1" applyFont="1" applyFill="1" applyBorder="1" applyAlignment="1">
      <alignment horizontal="center" vertical="center" wrapText="1"/>
    </xf>
    <xf numFmtId="165" fontId="5" fillId="0" borderId="12" xfId="1" applyNumberFormat="1" applyFont="1" applyFill="1" applyBorder="1" applyAlignment="1">
      <alignment horizontal="center" vertical="center" wrapText="1"/>
    </xf>
    <xf numFmtId="165" fontId="5" fillId="0" borderId="13" xfId="1" applyNumberFormat="1" applyFont="1" applyFill="1" applyBorder="1" applyAlignment="1">
      <alignment horizontal="center" vertical="center" wrapText="1"/>
    </xf>
    <xf numFmtId="0" fontId="13" fillId="4" borderId="6" xfId="11" applyNumberFormat="1" applyFont="1" applyFill="1" applyBorder="1" applyAlignment="1">
      <alignment horizontal="center" vertical="center" wrapText="1"/>
    </xf>
    <xf numFmtId="0" fontId="13" fillId="4" borderId="9" xfId="11" applyNumberFormat="1" applyFont="1" applyFill="1" applyBorder="1" applyAlignment="1">
      <alignment horizontal="center" vertical="center" wrapText="1"/>
    </xf>
    <xf numFmtId="49" fontId="13" fillId="4" borderId="7" xfId="11" applyNumberFormat="1" applyFont="1" applyFill="1" applyBorder="1" applyAlignment="1">
      <alignment horizontal="center" vertical="center" wrapText="1"/>
    </xf>
    <xf numFmtId="49" fontId="13" fillId="4" borderId="10" xfId="11" applyNumberFormat="1" applyFont="1" applyFill="1" applyBorder="1" applyAlignment="1">
      <alignment horizontal="center" vertical="center" wrapText="1"/>
    </xf>
    <xf numFmtId="0" fontId="13" fillId="4" borderId="9" xfId="1" applyNumberFormat="1" applyFont="1" applyFill="1" applyBorder="1" applyAlignment="1">
      <alignment horizontal="center" vertical="center" wrapText="1"/>
    </xf>
    <xf numFmtId="0" fontId="5" fillId="0" borderId="36" xfId="1" applyFont="1" applyFill="1" applyBorder="1" applyAlignment="1">
      <alignment horizontal="left" vertical="center" wrapText="1"/>
    </xf>
    <xf numFmtId="0" fontId="5" fillId="0" borderId="37" xfId="1" applyFont="1" applyFill="1" applyBorder="1" applyAlignment="1">
      <alignment horizontal="left" vertical="center" wrapText="1"/>
    </xf>
    <xf numFmtId="165" fontId="6" fillId="0" borderId="33" xfId="1" applyNumberFormat="1" applyFont="1" applyFill="1" applyBorder="1" applyAlignment="1">
      <alignment horizontal="center" vertical="center" wrapText="1"/>
    </xf>
    <xf numFmtId="165" fontId="6" fillId="0" borderId="35" xfId="1" applyNumberFormat="1" applyFont="1" applyFill="1" applyBorder="1" applyAlignment="1">
      <alignment horizontal="center" vertical="center" wrapText="1"/>
    </xf>
    <xf numFmtId="164" fontId="5" fillId="0" borderId="33" xfId="1" applyNumberFormat="1" applyFont="1" applyFill="1" applyBorder="1" applyAlignment="1">
      <alignment horizontal="center" vertical="center"/>
    </xf>
    <xf numFmtId="164" fontId="5" fillId="0" borderId="35" xfId="1" applyNumberFormat="1" applyFont="1" applyFill="1" applyBorder="1" applyAlignment="1">
      <alignment horizontal="center" vertical="center"/>
    </xf>
    <xf numFmtId="49" fontId="6" fillId="0" borderId="30" xfId="1" applyNumberFormat="1" applyFont="1" applyFill="1" applyBorder="1" applyAlignment="1">
      <alignment horizontal="left" vertical="center" wrapText="1"/>
    </xf>
    <xf numFmtId="49" fontId="6" fillId="0" borderId="31" xfId="1" applyNumberFormat="1" applyFont="1" applyFill="1" applyBorder="1" applyAlignment="1">
      <alignment horizontal="left" vertical="center" wrapText="1"/>
    </xf>
    <xf numFmtId="0" fontId="13" fillId="4" borderId="1" xfId="1" applyFont="1" applyFill="1" applyBorder="1" applyAlignment="1">
      <alignment horizontal="left" vertical="center"/>
    </xf>
    <xf numFmtId="0" fontId="13" fillId="4" borderId="3" xfId="1" applyFont="1" applyFill="1" applyBorder="1" applyAlignment="1">
      <alignment horizontal="left" vertical="center"/>
    </xf>
    <xf numFmtId="0" fontId="13" fillId="4" borderId="2" xfId="1" applyFont="1" applyFill="1" applyBorder="1" applyAlignment="1">
      <alignment horizontal="left" vertical="center"/>
    </xf>
    <xf numFmtId="0" fontId="13" fillId="4" borderId="5" xfId="1" applyFont="1" applyFill="1" applyBorder="1" applyAlignment="1">
      <alignment horizontal="center" vertical="center"/>
    </xf>
    <xf numFmtId="0" fontId="13" fillId="4" borderId="8" xfId="1" applyFont="1" applyFill="1" applyBorder="1" applyAlignment="1">
      <alignment horizontal="center" vertical="center"/>
    </xf>
    <xf numFmtId="0" fontId="13" fillId="4" borderId="6" xfId="1" applyNumberFormat="1" applyFont="1" applyFill="1" applyBorder="1" applyAlignment="1">
      <alignment horizontal="center" vertical="center" textRotation="90" wrapText="1"/>
    </xf>
    <xf numFmtId="0" fontId="13" fillId="4" borderId="9" xfId="1" applyNumberFormat="1" applyFont="1" applyFill="1" applyBorder="1" applyAlignment="1">
      <alignment horizontal="center" vertical="center" textRotation="90" wrapText="1"/>
    </xf>
    <xf numFmtId="0" fontId="5" fillId="2" borderId="17" xfId="1" applyFont="1" applyFill="1" applyBorder="1" applyAlignment="1">
      <alignment vertical="center" wrapText="1"/>
    </xf>
    <xf numFmtId="164" fontId="5" fillId="0" borderId="12" xfId="1" applyNumberFormat="1" applyFont="1" applyFill="1" applyBorder="1" applyAlignment="1">
      <alignment horizontal="center" vertical="center"/>
    </xf>
    <xf numFmtId="164" fontId="5" fillId="0" borderId="13" xfId="1" applyNumberFormat="1" applyFont="1" applyFill="1" applyBorder="1" applyAlignment="1">
      <alignment horizontal="center" vertical="center"/>
    </xf>
    <xf numFmtId="164" fontId="5" fillId="2" borderId="13" xfId="1" applyNumberFormat="1" applyFont="1" applyFill="1" applyBorder="1" applyAlignment="1">
      <alignment horizontal="center" vertical="center"/>
    </xf>
    <xf numFmtId="164" fontId="5" fillId="2" borderId="12" xfId="1" applyNumberFormat="1" applyFont="1" applyFill="1" applyBorder="1" applyAlignment="1">
      <alignment horizontal="center" vertical="center"/>
    </xf>
    <xf numFmtId="0" fontId="5" fillId="0" borderId="24" xfId="1" applyFont="1" applyFill="1" applyBorder="1" applyAlignment="1">
      <alignment horizontal="left" vertical="center" wrapText="1"/>
    </xf>
    <xf numFmtId="165" fontId="5" fillId="0" borderId="25" xfId="1" applyNumberFormat="1" applyFont="1" applyFill="1" applyBorder="1" applyAlignment="1">
      <alignment horizontal="center" vertical="center" wrapText="1"/>
    </xf>
    <xf numFmtId="164" fontId="5" fillId="0" borderId="25" xfId="1" applyNumberFormat="1" applyFont="1" applyFill="1" applyBorder="1" applyAlignment="1">
      <alignment horizontal="center" vertical="center"/>
    </xf>
    <xf numFmtId="49" fontId="5" fillId="0" borderId="32" xfId="1" applyNumberFormat="1" applyFont="1" applyFill="1" applyBorder="1" applyAlignment="1">
      <alignment horizontal="left" vertical="center" wrapText="1"/>
    </xf>
    <xf numFmtId="49" fontId="5" fillId="0" borderId="31" xfId="1" applyNumberFormat="1" applyFont="1" applyFill="1" applyBorder="1" applyAlignment="1">
      <alignment horizontal="left" vertical="center" wrapText="1"/>
    </xf>
    <xf numFmtId="49" fontId="5" fillId="0" borderId="30" xfId="1" applyNumberFormat="1" applyFont="1" applyFill="1" applyBorder="1" applyAlignment="1">
      <alignment horizontal="left" vertical="center" wrapText="1"/>
    </xf>
    <xf numFmtId="164" fontId="5" fillId="0" borderId="13" xfId="1" applyNumberFormat="1" applyFont="1" applyFill="1" applyBorder="1" applyAlignment="1">
      <alignment horizontal="center" vertical="center" wrapText="1"/>
    </xf>
    <xf numFmtId="164" fontId="5" fillId="0" borderId="12" xfId="1" applyNumberFormat="1" applyFont="1" applyFill="1" applyBorder="1" applyAlignment="1">
      <alignment horizontal="center" vertical="center" wrapText="1"/>
    </xf>
    <xf numFmtId="0" fontId="5" fillId="2" borderId="15" xfId="1" applyFont="1" applyFill="1" applyBorder="1" applyAlignment="1">
      <alignment vertical="center" wrapText="1"/>
    </xf>
    <xf numFmtId="0" fontId="13" fillId="3" borderId="1" xfId="1" applyFont="1" applyFill="1" applyBorder="1" applyAlignment="1">
      <alignment horizontal="left" vertical="center"/>
    </xf>
    <xf numFmtId="0" fontId="13" fillId="3" borderId="3" xfId="1" applyFont="1" applyFill="1" applyBorder="1" applyAlignment="1">
      <alignment horizontal="left" vertical="center"/>
    </xf>
    <xf numFmtId="0" fontId="13" fillId="3" borderId="2" xfId="1" applyFont="1" applyFill="1" applyBorder="1" applyAlignment="1">
      <alignment horizontal="left" vertical="center"/>
    </xf>
    <xf numFmtId="49" fontId="17" fillId="0" borderId="26" xfId="1" applyNumberFormat="1" applyFont="1" applyFill="1" applyBorder="1" applyAlignment="1">
      <alignment horizontal="left" vertical="center" wrapText="1"/>
    </xf>
    <xf numFmtId="49" fontId="6" fillId="2" borderId="16" xfId="1" applyNumberFormat="1" applyFont="1" applyFill="1" applyBorder="1" applyAlignment="1">
      <alignment horizontal="left" vertical="center" wrapText="1"/>
    </xf>
    <xf numFmtId="49" fontId="6" fillId="2" borderId="18" xfId="1" applyNumberFormat="1" applyFont="1" applyFill="1" applyBorder="1" applyAlignment="1">
      <alignment horizontal="left" vertical="center" wrapText="1"/>
    </xf>
    <xf numFmtId="49" fontId="5" fillId="0" borderId="18" xfId="1" applyNumberFormat="1" applyFont="1" applyFill="1" applyBorder="1" applyAlignment="1">
      <alignment horizontal="left" vertical="center" wrapText="1"/>
    </xf>
    <xf numFmtId="49" fontId="5" fillId="0" borderId="26" xfId="1" applyNumberFormat="1" applyFont="1" applyFill="1" applyBorder="1" applyAlignment="1">
      <alignment horizontal="left" vertical="center" wrapText="1"/>
    </xf>
    <xf numFmtId="164" fontId="5" fillId="0" borderId="25" xfId="1" applyNumberFormat="1" applyFont="1" applyFill="1" applyBorder="1" applyAlignment="1">
      <alignment horizontal="center" vertical="center" wrapText="1"/>
    </xf>
    <xf numFmtId="0" fontId="5" fillId="0" borderId="15" xfId="1" applyFont="1" applyFill="1" applyBorder="1" applyAlignment="1">
      <alignment horizontal="left" vertical="center" wrapText="1"/>
    </xf>
    <xf numFmtId="0" fontId="5" fillId="0" borderId="17" xfId="1" applyFont="1" applyFill="1" applyBorder="1" applyAlignment="1">
      <alignment horizontal="left" vertical="center" wrapText="1"/>
    </xf>
    <xf numFmtId="165" fontId="5" fillId="0" borderId="33" xfId="1" applyNumberFormat="1" applyFont="1" applyFill="1" applyBorder="1" applyAlignment="1">
      <alignment horizontal="center" vertical="center" wrapText="1"/>
    </xf>
    <xf numFmtId="165" fontId="5" fillId="0" borderId="34" xfId="1" applyNumberFormat="1" applyFont="1" applyFill="1" applyBorder="1" applyAlignment="1">
      <alignment horizontal="center" vertical="center" wrapText="1"/>
    </xf>
    <xf numFmtId="165" fontId="5" fillId="0" borderId="35" xfId="1" applyNumberFormat="1" applyFont="1" applyFill="1" applyBorder="1" applyAlignment="1">
      <alignment horizontal="center" vertical="center" wrapText="1"/>
    </xf>
    <xf numFmtId="164" fontId="5" fillId="0" borderId="34" xfId="1" applyNumberFormat="1" applyFont="1" applyFill="1" applyBorder="1" applyAlignment="1">
      <alignment horizontal="center" vertical="center"/>
    </xf>
    <xf numFmtId="0" fontId="5" fillId="0" borderId="24" xfId="4" applyFont="1" applyFill="1" applyBorder="1" applyAlignment="1">
      <alignment horizontal="left" vertical="center" wrapText="1"/>
    </xf>
    <xf numFmtId="0" fontId="6" fillId="0" borderId="0" xfId="1" applyFont="1" applyFill="1" applyBorder="1" applyAlignment="1">
      <alignment horizontal="left" vertical="center" wrapText="1"/>
    </xf>
    <xf numFmtId="0" fontId="1" fillId="0" borderId="13" xfId="0" applyFont="1" applyBorder="1" applyAlignment="1">
      <alignment horizontal="center" vertical="center"/>
    </xf>
  </cellXfs>
  <cellStyles count="16">
    <cellStyle name="Comma" xfId="15" builtinId="3"/>
    <cellStyle name="Comma 2" xfId="5"/>
    <cellStyle name="Comma 2 2" xfId="2"/>
    <cellStyle name="Comma 2 2 2" xfId="12"/>
    <cellStyle name="Comma 2 3" xfId="6"/>
    <cellStyle name="Comma 3" xfId="7"/>
    <cellStyle name="Normal" xfId="0" builtinId="0"/>
    <cellStyle name="Normal 2" xfId="8"/>
    <cellStyle name="Normal 2 2" xfId="4"/>
    <cellStyle name="Normal 2 3" xfId="14"/>
    <cellStyle name="Normal 3" xfId="9"/>
    <cellStyle name="Normal 4" xfId="10"/>
    <cellStyle name="Normal 5" xfId="1"/>
    <cellStyle name="Percent" xfId="11" builtinId="5"/>
    <cellStyle name="Percent 2" xfId="3"/>
    <cellStyle name="Percent 2 2" xfId="13"/>
  </cellStyles>
  <dxfs count="0"/>
  <tableStyles count="0" defaultTableStyle="TableStyleMedium9" defaultPivotStyle="PivotStyleLight16"/>
  <colors>
    <mruColors>
      <color rgb="FF2C69B2"/>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86"/>
  <sheetViews>
    <sheetView tabSelected="1" view="pageBreakPreview" zoomScale="80" zoomScaleNormal="60" zoomScaleSheetLayoutView="80" zoomScalePageLayoutView="20" workbookViewId="0">
      <selection activeCell="N63" sqref="N63"/>
    </sheetView>
  </sheetViews>
  <sheetFormatPr defaultColWidth="9.33203125" defaultRowHeight="16.5" x14ac:dyDescent="0.3"/>
  <cols>
    <col min="1" max="1" width="52.88671875" style="5" customWidth="1"/>
    <col min="2" max="2" width="13.6640625" style="6" customWidth="1"/>
    <col min="3" max="3" width="13.6640625" style="3" customWidth="1"/>
    <col min="4" max="6" width="15.44140625" style="1" customWidth="1"/>
    <col min="7" max="7" width="14" style="1" customWidth="1"/>
    <col min="8" max="8" width="13.44140625" style="1" customWidth="1"/>
    <col min="9" max="9" width="16.21875" style="1" customWidth="1"/>
    <col min="10" max="10" width="13.77734375" style="1" customWidth="1"/>
    <col min="11" max="11" width="16.21875" style="1" customWidth="1"/>
    <col min="12" max="12" width="13.33203125" style="1" customWidth="1"/>
    <col min="13" max="13" width="28.77734375" style="5" hidden="1" customWidth="1"/>
    <col min="14" max="14" width="82.77734375" style="7" customWidth="1"/>
    <col min="15" max="15" width="9.33203125" style="1"/>
    <col min="16" max="16" width="19" style="1" customWidth="1"/>
    <col min="17" max="16384" width="9.33203125" style="1"/>
  </cols>
  <sheetData>
    <row r="1" spans="1:14" ht="6.75" customHeight="1" x14ac:dyDescent="0.35">
      <c r="A1" s="15"/>
      <c r="B1" s="17"/>
      <c r="C1" s="17"/>
      <c r="D1" s="15"/>
      <c r="E1" s="15"/>
      <c r="F1" s="15"/>
      <c r="G1" s="15"/>
      <c r="H1" s="15"/>
      <c r="I1" s="15"/>
      <c r="J1" s="15"/>
      <c r="K1" s="15"/>
      <c r="L1" s="15"/>
      <c r="M1" s="15"/>
      <c r="N1" s="18"/>
    </row>
    <row r="2" spans="1:14" s="8" customFormat="1" ht="27" customHeight="1" x14ac:dyDescent="0.3">
      <c r="A2" s="22" t="s">
        <v>43</v>
      </c>
      <c r="B2" s="23"/>
      <c r="C2" s="23"/>
      <c r="D2" s="22"/>
      <c r="E2" s="22"/>
      <c r="F2" s="22"/>
      <c r="G2" s="22"/>
      <c r="H2" s="24"/>
      <c r="I2" s="22"/>
      <c r="J2" s="22"/>
      <c r="K2" s="24"/>
      <c r="L2" s="22"/>
      <c r="M2" s="22"/>
      <c r="N2" s="25"/>
    </row>
    <row r="3" spans="1:14" ht="27" customHeight="1" thickBot="1" x14ac:dyDescent="0.35">
      <c r="A3" s="26" t="s">
        <v>142</v>
      </c>
      <c r="B3" s="27"/>
      <c r="C3" s="27"/>
      <c r="D3" s="28"/>
      <c r="E3" s="28"/>
      <c r="F3" s="28"/>
      <c r="G3" s="28"/>
      <c r="H3" s="28"/>
      <c r="I3" s="28"/>
      <c r="J3" s="28"/>
      <c r="K3" s="28"/>
      <c r="L3" s="28"/>
      <c r="M3" s="28"/>
    </row>
    <row r="4" spans="1:14" s="8" customFormat="1" ht="75.75" customHeight="1" x14ac:dyDescent="0.3">
      <c r="A4" s="140" t="s">
        <v>10</v>
      </c>
      <c r="B4" s="142" t="s">
        <v>126</v>
      </c>
      <c r="C4" s="142" t="s">
        <v>48</v>
      </c>
      <c r="D4" s="121" t="s">
        <v>38</v>
      </c>
      <c r="E4" s="121"/>
      <c r="F4" s="121"/>
      <c r="G4" s="121" t="s">
        <v>69</v>
      </c>
      <c r="H4" s="121"/>
      <c r="I4" s="121" t="s">
        <v>68</v>
      </c>
      <c r="J4" s="121"/>
      <c r="K4" s="121" t="s">
        <v>50</v>
      </c>
      <c r="L4" s="121"/>
      <c r="M4" s="124" t="s">
        <v>0</v>
      </c>
      <c r="N4" s="126" t="s">
        <v>37</v>
      </c>
    </row>
    <row r="5" spans="1:14" s="8" customFormat="1" ht="54" customHeight="1" thickBot="1" x14ac:dyDescent="0.35">
      <c r="A5" s="141"/>
      <c r="B5" s="143"/>
      <c r="C5" s="143"/>
      <c r="D5" s="128" t="s">
        <v>34</v>
      </c>
      <c r="E5" s="128"/>
      <c r="F5" s="128"/>
      <c r="G5" s="128" t="s">
        <v>45</v>
      </c>
      <c r="H5" s="128"/>
      <c r="I5" s="128" t="s">
        <v>45</v>
      </c>
      <c r="J5" s="128"/>
      <c r="K5" s="128" t="s">
        <v>45</v>
      </c>
      <c r="L5" s="128"/>
      <c r="M5" s="125"/>
      <c r="N5" s="127"/>
    </row>
    <row r="6" spans="1:14" ht="30.75" customHeight="1" thickBot="1" x14ac:dyDescent="0.35">
      <c r="A6" s="29"/>
      <c r="B6" s="30"/>
      <c r="C6" s="30"/>
      <c r="D6" s="31" t="s">
        <v>26</v>
      </c>
      <c r="E6" s="31" t="s">
        <v>20</v>
      </c>
      <c r="F6" s="31" t="s">
        <v>21</v>
      </c>
      <c r="G6" s="31" t="s">
        <v>20</v>
      </c>
      <c r="H6" s="31" t="s">
        <v>21</v>
      </c>
      <c r="I6" s="31" t="s">
        <v>20</v>
      </c>
      <c r="J6" s="32" t="s">
        <v>21</v>
      </c>
      <c r="K6" s="31" t="s">
        <v>20</v>
      </c>
      <c r="L6" s="31" t="s">
        <v>21</v>
      </c>
      <c r="M6" s="33"/>
      <c r="N6" s="34"/>
    </row>
    <row r="7" spans="1:14" s="9" customFormat="1" ht="36.75" customHeight="1" thickBot="1" x14ac:dyDescent="0.35">
      <c r="A7" s="137" t="s">
        <v>13</v>
      </c>
      <c r="B7" s="138"/>
      <c r="C7" s="138"/>
      <c r="D7" s="138"/>
      <c r="E7" s="138"/>
      <c r="F7" s="139"/>
      <c r="G7" s="35">
        <f t="shared" ref="G7:L7" si="0">SUM(G8:G23)</f>
        <v>343050</v>
      </c>
      <c r="H7" s="35">
        <f t="shared" si="0"/>
        <v>11300</v>
      </c>
      <c r="I7" s="35">
        <f t="shared" si="0"/>
        <v>309150.57456999994</v>
      </c>
      <c r="J7" s="35">
        <f t="shared" si="0"/>
        <v>10847.770850000001</v>
      </c>
      <c r="K7" s="35">
        <f t="shared" si="0"/>
        <v>1367646.37222</v>
      </c>
      <c r="L7" s="35">
        <f t="shared" si="0"/>
        <v>25478.482550000001</v>
      </c>
      <c r="M7" s="36"/>
      <c r="N7" s="37"/>
    </row>
    <row r="8" spans="1:14" ht="54.95" customHeight="1" x14ac:dyDescent="0.3">
      <c r="A8" s="157" t="s">
        <v>35</v>
      </c>
      <c r="B8" s="122">
        <v>41431</v>
      </c>
      <c r="C8" s="122">
        <v>43159</v>
      </c>
      <c r="D8" s="99" t="s">
        <v>24</v>
      </c>
      <c r="E8" s="99">
        <v>24500</v>
      </c>
      <c r="F8" s="145"/>
      <c r="G8" s="145">
        <v>40000</v>
      </c>
      <c r="H8" s="145"/>
      <c r="I8" s="145">
        <v>38338.075559999997</v>
      </c>
      <c r="J8" s="148"/>
      <c r="K8" s="145">
        <f>88061.48409+I8</f>
        <v>126399.55965</v>
      </c>
      <c r="L8" s="145"/>
      <c r="M8" s="156" t="s">
        <v>42</v>
      </c>
      <c r="N8" s="152" t="s">
        <v>105</v>
      </c>
    </row>
    <row r="9" spans="1:14" ht="54.95" customHeight="1" x14ac:dyDescent="0.3">
      <c r="A9" s="144"/>
      <c r="B9" s="123"/>
      <c r="C9" s="123"/>
      <c r="D9" s="98" t="s">
        <v>25</v>
      </c>
      <c r="E9" s="98">
        <v>38000</v>
      </c>
      <c r="F9" s="146"/>
      <c r="G9" s="146"/>
      <c r="H9" s="146"/>
      <c r="I9" s="146"/>
      <c r="J9" s="147"/>
      <c r="K9" s="146"/>
      <c r="L9" s="146"/>
      <c r="M9" s="155"/>
      <c r="N9" s="153"/>
    </row>
    <row r="10" spans="1:14" s="11" customFormat="1" ht="87.6" customHeight="1" x14ac:dyDescent="0.3">
      <c r="A10" s="144" t="s">
        <v>70</v>
      </c>
      <c r="B10" s="123">
        <v>42410</v>
      </c>
      <c r="C10" s="123">
        <v>44196</v>
      </c>
      <c r="D10" s="98" t="s">
        <v>25</v>
      </c>
      <c r="E10" s="98">
        <v>140000</v>
      </c>
      <c r="F10" s="98"/>
      <c r="G10" s="146">
        <v>64000</v>
      </c>
      <c r="H10" s="146"/>
      <c r="I10" s="146">
        <v>49310.190139999999</v>
      </c>
      <c r="J10" s="147"/>
      <c r="K10" s="146">
        <f>850.73112+I10</f>
        <v>50160.921259999996</v>
      </c>
      <c r="L10" s="146"/>
      <c r="M10" s="100"/>
      <c r="N10" s="135" t="s">
        <v>143</v>
      </c>
    </row>
    <row r="11" spans="1:14" s="11" customFormat="1" ht="84" customHeight="1" x14ac:dyDescent="0.3">
      <c r="A11" s="144"/>
      <c r="B11" s="123"/>
      <c r="C11" s="123"/>
      <c r="D11" s="98" t="s">
        <v>31</v>
      </c>
      <c r="E11" s="98">
        <v>49450</v>
      </c>
      <c r="F11" s="98"/>
      <c r="G11" s="146"/>
      <c r="H11" s="146"/>
      <c r="I11" s="146"/>
      <c r="J11" s="147"/>
      <c r="K11" s="146"/>
      <c r="L11" s="146"/>
      <c r="M11" s="100"/>
      <c r="N11" s="136"/>
    </row>
    <row r="12" spans="1:14" ht="32.25" customHeight="1" x14ac:dyDescent="0.3">
      <c r="A12" s="144" t="s">
        <v>29</v>
      </c>
      <c r="B12" s="123">
        <v>40115</v>
      </c>
      <c r="C12" s="123">
        <v>43737</v>
      </c>
      <c r="D12" s="98" t="s">
        <v>24</v>
      </c>
      <c r="E12" s="98">
        <v>75892</v>
      </c>
      <c r="F12" s="146"/>
      <c r="G12" s="146">
        <v>47840</v>
      </c>
      <c r="H12" s="146"/>
      <c r="I12" s="146">
        <v>37023.297780000001</v>
      </c>
      <c r="J12" s="146"/>
      <c r="K12" s="146">
        <f>282958.95925+I12</f>
        <v>319982.25703000004</v>
      </c>
      <c r="L12" s="146"/>
      <c r="M12" s="155" t="s">
        <v>42</v>
      </c>
      <c r="N12" s="154" t="s">
        <v>141</v>
      </c>
    </row>
    <row r="13" spans="1:14" ht="30" customHeight="1" x14ac:dyDescent="0.3">
      <c r="A13" s="144"/>
      <c r="B13" s="123"/>
      <c r="C13" s="123"/>
      <c r="D13" s="98" t="s">
        <v>28</v>
      </c>
      <c r="E13" s="98">
        <v>140000</v>
      </c>
      <c r="F13" s="146"/>
      <c r="G13" s="146"/>
      <c r="H13" s="146"/>
      <c r="I13" s="146"/>
      <c r="J13" s="146"/>
      <c r="K13" s="146"/>
      <c r="L13" s="146"/>
      <c r="M13" s="155"/>
      <c r="N13" s="153"/>
    </row>
    <row r="14" spans="1:14" ht="46.9" customHeight="1" x14ac:dyDescent="0.3">
      <c r="A14" s="129" t="s">
        <v>87</v>
      </c>
      <c r="B14" s="131">
        <v>42898</v>
      </c>
      <c r="C14" s="131">
        <v>45107</v>
      </c>
      <c r="D14" s="110" t="s">
        <v>31</v>
      </c>
      <c r="E14" s="110">
        <v>108190</v>
      </c>
      <c r="F14" s="133"/>
      <c r="G14" s="133">
        <v>40400</v>
      </c>
      <c r="H14" s="133"/>
      <c r="I14" s="133">
        <v>37260.101320000002</v>
      </c>
      <c r="J14" s="133"/>
      <c r="K14" s="133">
        <f>I14</f>
        <v>37260.101320000002</v>
      </c>
      <c r="L14" s="133"/>
      <c r="M14" s="100"/>
      <c r="N14" s="135" t="s">
        <v>131</v>
      </c>
    </row>
    <row r="15" spans="1:14" s="15" customFormat="1" ht="44.45" customHeight="1" x14ac:dyDescent="0.3">
      <c r="A15" s="130"/>
      <c r="B15" s="132"/>
      <c r="C15" s="132"/>
      <c r="D15" s="110" t="s">
        <v>25</v>
      </c>
      <c r="E15" s="110">
        <v>114000</v>
      </c>
      <c r="F15" s="134"/>
      <c r="G15" s="134"/>
      <c r="H15" s="134"/>
      <c r="I15" s="134"/>
      <c r="J15" s="134"/>
      <c r="K15" s="134"/>
      <c r="L15" s="134"/>
      <c r="M15" s="113"/>
      <c r="N15" s="136"/>
    </row>
    <row r="16" spans="1:14" ht="125.45" customHeight="1" x14ac:dyDescent="0.3">
      <c r="A16" s="96" t="s">
        <v>32</v>
      </c>
      <c r="B16" s="97">
        <v>40163</v>
      </c>
      <c r="C16" s="43">
        <v>45101</v>
      </c>
      <c r="D16" s="98" t="s">
        <v>30</v>
      </c>
      <c r="E16" s="98">
        <v>22132000</v>
      </c>
      <c r="F16" s="98"/>
      <c r="G16" s="98">
        <v>30200</v>
      </c>
      <c r="H16" s="98"/>
      <c r="I16" s="98">
        <v>34318.838250000001</v>
      </c>
      <c r="J16" s="98"/>
      <c r="K16" s="98">
        <f>351628.94474+I16</f>
        <v>385947.78298999998</v>
      </c>
      <c r="L16" s="98"/>
      <c r="M16" s="100" t="s">
        <v>42</v>
      </c>
      <c r="N16" s="95" t="s">
        <v>128</v>
      </c>
    </row>
    <row r="17" spans="1:16" ht="123.75" customHeight="1" x14ac:dyDescent="0.3">
      <c r="A17" s="96" t="s">
        <v>58</v>
      </c>
      <c r="B17" s="97">
        <v>41040</v>
      </c>
      <c r="C17" s="97">
        <v>43797</v>
      </c>
      <c r="D17" s="98" t="s">
        <v>31</v>
      </c>
      <c r="E17" s="98">
        <v>200000</v>
      </c>
      <c r="F17" s="98">
        <v>20000</v>
      </c>
      <c r="G17" s="98">
        <v>32570</v>
      </c>
      <c r="H17" s="98">
        <v>11300</v>
      </c>
      <c r="I17" s="98">
        <v>80728.96501</v>
      </c>
      <c r="J17" s="98">
        <v>10847.770850000001</v>
      </c>
      <c r="K17" s="98">
        <f>178512.13906+I17</f>
        <v>259241.10407</v>
      </c>
      <c r="L17" s="98">
        <f>14630.7117+J17</f>
        <v>25478.482550000001</v>
      </c>
      <c r="M17" s="100" t="s">
        <v>42</v>
      </c>
      <c r="N17" s="95" t="s">
        <v>146</v>
      </c>
    </row>
    <row r="18" spans="1:16" s="4" customFormat="1" ht="30.75" customHeight="1" x14ac:dyDescent="0.3">
      <c r="A18" s="144" t="s">
        <v>1</v>
      </c>
      <c r="B18" s="123">
        <v>40990</v>
      </c>
      <c r="C18" s="123">
        <v>43646</v>
      </c>
      <c r="D18" s="98" t="s">
        <v>24</v>
      </c>
      <c r="E18" s="98">
        <v>25800</v>
      </c>
      <c r="F18" s="146"/>
      <c r="G18" s="146">
        <v>12000</v>
      </c>
      <c r="H18" s="146"/>
      <c r="I18" s="146">
        <v>9003.3208300000006</v>
      </c>
      <c r="J18" s="147"/>
      <c r="K18" s="146">
        <f>97189.71889+I18</f>
        <v>106193.03972</v>
      </c>
      <c r="L18" s="146"/>
      <c r="M18" s="155" t="s">
        <v>42</v>
      </c>
      <c r="N18" s="154" t="s">
        <v>125</v>
      </c>
    </row>
    <row r="19" spans="1:16" s="4" customFormat="1" ht="28.5" customHeight="1" x14ac:dyDescent="0.3">
      <c r="A19" s="144"/>
      <c r="B19" s="123"/>
      <c r="C19" s="123"/>
      <c r="D19" s="98" t="s">
        <v>25</v>
      </c>
      <c r="E19" s="98">
        <v>30000</v>
      </c>
      <c r="F19" s="146"/>
      <c r="G19" s="146"/>
      <c r="H19" s="146"/>
      <c r="I19" s="146"/>
      <c r="J19" s="147"/>
      <c r="K19" s="146"/>
      <c r="L19" s="146"/>
      <c r="M19" s="155"/>
      <c r="N19" s="153"/>
    </row>
    <row r="20" spans="1:16" s="4" customFormat="1" ht="60" customHeight="1" x14ac:dyDescent="0.3">
      <c r="A20" s="96" t="s">
        <v>46</v>
      </c>
      <c r="B20" s="97">
        <v>41829</v>
      </c>
      <c r="C20" s="97">
        <v>43373</v>
      </c>
      <c r="D20" s="98" t="s">
        <v>25</v>
      </c>
      <c r="E20" s="98">
        <v>75000</v>
      </c>
      <c r="F20" s="98"/>
      <c r="G20" s="98">
        <v>32800</v>
      </c>
      <c r="H20" s="98"/>
      <c r="I20" s="98">
        <v>20143.435870000001</v>
      </c>
      <c r="J20" s="98"/>
      <c r="K20" s="98">
        <f>59062.8505+I20</f>
        <v>79206.286370000002</v>
      </c>
      <c r="L20" s="98"/>
      <c r="M20" s="100" t="s">
        <v>42</v>
      </c>
      <c r="N20" s="95" t="s">
        <v>124</v>
      </c>
    </row>
    <row r="21" spans="1:16" s="4" customFormat="1" ht="117.75" customHeight="1" x14ac:dyDescent="0.3">
      <c r="A21" s="41" t="s">
        <v>65</v>
      </c>
      <c r="B21" s="97">
        <v>42457</v>
      </c>
      <c r="C21" s="97">
        <v>44561</v>
      </c>
      <c r="D21" s="98" t="s">
        <v>25</v>
      </c>
      <c r="E21" s="98">
        <v>40000</v>
      </c>
      <c r="F21" s="98"/>
      <c r="G21" s="98">
        <v>24000</v>
      </c>
      <c r="H21" s="98"/>
      <c r="I21" s="98">
        <v>2838.1638800000001</v>
      </c>
      <c r="J21" s="98"/>
      <c r="K21" s="98">
        <f>230.97+I21</f>
        <v>3069.1338799999999</v>
      </c>
      <c r="L21" s="98"/>
      <c r="M21" s="100"/>
      <c r="N21" s="115" t="s">
        <v>147</v>
      </c>
    </row>
    <row r="22" spans="1:16" s="4" customFormat="1" ht="61.15" customHeight="1" x14ac:dyDescent="0.3">
      <c r="A22" s="41" t="s">
        <v>66</v>
      </c>
      <c r="B22" s="97">
        <v>42752</v>
      </c>
      <c r="C22" s="97">
        <v>44196</v>
      </c>
      <c r="D22" s="98" t="s">
        <v>71</v>
      </c>
      <c r="E22" s="98">
        <v>8000</v>
      </c>
      <c r="F22" s="98"/>
      <c r="G22" s="98">
        <v>16000</v>
      </c>
      <c r="H22" s="98"/>
      <c r="I22" s="98">
        <v>49.130929999999999</v>
      </c>
      <c r="J22" s="98"/>
      <c r="K22" s="120">
        <f>I22</f>
        <v>49.130929999999999</v>
      </c>
      <c r="L22" s="98"/>
      <c r="M22" s="100"/>
      <c r="N22" s="115" t="s">
        <v>138</v>
      </c>
    </row>
    <row r="23" spans="1:16" s="4" customFormat="1" ht="72.599999999999994" customHeight="1" thickBot="1" x14ac:dyDescent="0.35">
      <c r="A23" s="44" t="s">
        <v>67</v>
      </c>
      <c r="B23" s="45">
        <v>42734</v>
      </c>
      <c r="C23" s="45">
        <v>43830</v>
      </c>
      <c r="D23" s="46" t="s">
        <v>31</v>
      </c>
      <c r="E23" s="46">
        <v>6000</v>
      </c>
      <c r="F23" s="46"/>
      <c r="G23" s="46">
        <v>3240</v>
      </c>
      <c r="H23" s="46"/>
      <c r="I23" s="46">
        <v>137.05500000000001</v>
      </c>
      <c r="J23" s="46"/>
      <c r="K23" s="46">
        <f>I23</f>
        <v>137.05500000000001</v>
      </c>
      <c r="L23" s="46"/>
      <c r="M23" s="47"/>
      <c r="N23" s="117" t="s">
        <v>144</v>
      </c>
    </row>
    <row r="24" spans="1:16" s="9" customFormat="1" ht="30" customHeight="1" thickBot="1" x14ac:dyDescent="0.35">
      <c r="A24" s="158" t="s">
        <v>12</v>
      </c>
      <c r="B24" s="159"/>
      <c r="C24" s="159"/>
      <c r="D24" s="159"/>
      <c r="E24" s="159"/>
      <c r="F24" s="160"/>
      <c r="G24" s="48">
        <f>G25+G26+G27+G28+G30+G31+G33+G34+G36+G37+G38+G35</f>
        <v>151330</v>
      </c>
      <c r="H24" s="48">
        <f t="shared" ref="H24:L24" si="1">H25+H26+H27+H28+H30+H31+H33+H34+H36+H37+H38+H35</f>
        <v>8300</v>
      </c>
      <c r="I24" s="48">
        <f>I25+I26+I27+I28+I30+I31+I33+I34+I35+I36+I37++I38</f>
        <v>149308.37504000001</v>
      </c>
      <c r="J24" s="48">
        <f t="shared" si="1"/>
        <v>6727.8899099999999</v>
      </c>
      <c r="K24" s="48">
        <f t="shared" si="1"/>
        <v>606722.50263</v>
      </c>
      <c r="L24" s="48">
        <f t="shared" si="1"/>
        <v>9017.7057100000002</v>
      </c>
      <c r="M24" s="49"/>
      <c r="N24" s="50"/>
      <c r="P24" s="12"/>
    </row>
    <row r="25" spans="1:16" ht="62.25" customHeight="1" x14ac:dyDescent="0.3">
      <c r="A25" s="51" t="s">
        <v>51</v>
      </c>
      <c r="B25" s="52">
        <v>41869</v>
      </c>
      <c r="C25" s="52">
        <v>43646</v>
      </c>
      <c r="D25" s="53" t="s">
        <v>25</v>
      </c>
      <c r="E25" s="53">
        <v>30000</v>
      </c>
      <c r="F25" s="53">
        <v>5000</v>
      </c>
      <c r="G25" s="53">
        <v>8900</v>
      </c>
      <c r="H25" s="53">
        <v>1000</v>
      </c>
      <c r="I25" s="53">
        <v>5980.4282700000003</v>
      </c>
      <c r="J25" s="53">
        <v>629.89314999999999</v>
      </c>
      <c r="K25" s="53">
        <f>27593.30803+I25</f>
        <v>33573.736300000004</v>
      </c>
      <c r="L25" s="53">
        <v>925.44113000000004</v>
      </c>
      <c r="M25" s="54"/>
      <c r="N25" s="55" t="s">
        <v>134</v>
      </c>
    </row>
    <row r="26" spans="1:16" ht="78" customHeight="1" x14ac:dyDescent="0.3">
      <c r="A26" s="104" t="s">
        <v>6</v>
      </c>
      <c r="B26" s="103">
        <v>40227</v>
      </c>
      <c r="C26" s="56">
        <v>43465</v>
      </c>
      <c r="D26" s="101" t="s">
        <v>31</v>
      </c>
      <c r="E26" s="101">
        <v>3000</v>
      </c>
      <c r="F26" s="101"/>
      <c r="G26" s="101">
        <v>4000</v>
      </c>
      <c r="H26" s="101"/>
      <c r="I26" s="101"/>
      <c r="J26" s="101"/>
      <c r="K26" s="101">
        <f>74.757+I26</f>
        <v>74.757000000000005</v>
      </c>
      <c r="L26" s="101"/>
      <c r="M26" s="106" t="s">
        <v>39</v>
      </c>
      <c r="N26" s="105" t="s">
        <v>106</v>
      </c>
    </row>
    <row r="27" spans="1:16" ht="106.15" customHeight="1" x14ac:dyDescent="0.3">
      <c r="A27" s="104" t="s">
        <v>59</v>
      </c>
      <c r="B27" s="103">
        <v>41621</v>
      </c>
      <c r="C27" s="103">
        <v>43465</v>
      </c>
      <c r="D27" s="101" t="s">
        <v>31</v>
      </c>
      <c r="E27" s="101">
        <v>20000</v>
      </c>
      <c r="F27" s="101">
        <v>2000</v>
      </c>
      <c r="G27" s="101">
        <v>3600</v>
      </c>
      <c r="H27" s="101">
        <v>1000</v>
      </c>
      <c r="I27" s="101">
        <v>690.26504999999997</v>
      </c>
      <c r="J27" s="101">
        <v>817.60614999999996</v>
      </c>
      <c r="K27" s="57">
        <f>581.49533+I27</f>
        <v>1271.7603799999999</v>
      </c>
      <c r="L27" s="101">
        <f>1994.26782+J27</f>
        <v>2811.8739700000001</v>
      </c>
      <c r="M27" s="106" t="s">
        <v>47</v>
      </c>
      <c r="N27" s="105" t="s">
        <v>100</v>
      </c>
    </row>
    <row r="28" spans="1:16" ht="58.15" customHeight="1" x14ac:dyDescent="0.3">
      <c r="A28" s="173" t="s">
        <v>22</v>
      </c>
      <c r="B28" s="150">
        <v>40350</v>
      </c>
      <c r="C28" s="150">
        <v>44196</v>
      </c>
      <c r="D28" s="101" t="s">
        <v>24</v>
      </c>
      <c r="E28" s="101">
        <f>57986+10639</f>
        <v>68625</v>
      </c>
      <c r="F28" s="151"/>
      <c r="G28" s="151">
        <v>35800</v>
      </c>
      <c r="H28" s="151"/>
      <c r="I28" s="151">
        <v>52234.299460000002</v>
      </c>
      <c r="J28" s="151"/>
      <c r="K28" s="151">
        <f>242152.29212+I28</f>
        <v>294386.59158000001</v>
      </c>
      <c r="L28" s="151"/>
      <c r="M28" s="166" t="s">
        <v>40</v>
      </c>
      <c r="N28" s="161" t="s">
        <v>135</v>
      </c>
    </row>
    <row r="29" spans="1:16" ht="51" customHeight="1" x14ac:dyDescent="0.3">
      <c r="A29" s="173"/>
      <c r="B29" s="150"/>
      <c r="C29" s="150"/>
      <c r="D29" s="101" t="s">
        <v>25</v>
      </c>
      <c r="E29" s="101">
        <f>48886+73000+20000</f>
        <v>141886</v>
      </c>
      <c r="F29" s="151"/>
      <c r="G29" s="151"/>
      <c r="H29" s="151"/>
      <c r="I29" s="151"/>
      <c r="J29" s="151"/>
      <c r="K29" s="151"/>
      <c r="L29" s="151"/>
      <c r="M29" s="166"/>
      <c r="N29" s="161"/>
    </row>
    <row r="30" spans="1:16" ht="87.75" customHeight="1" x14ac:dyDescent="0.3">
      <c r="A30" s="102" t="s">
        <v>2</v>
      </c>
      <c r="B30" s="103">
        <v>40996</v>
      </c>
      <c r="C30" s="103">
        <v>43100</v>
      </c>
      <c r="D30" s="101" t="s">
        <v>25</v>
      </c>
      <c r="E30" s="101">
        <v>60000</v>
      </c>
      <c r="F30" s="101"/>
      <c r="G30" s="101">
        <v>5800</v>
      </c>
      <c r="H30" s="101"/>
      <c r="I30" s="101">
        <v>6599.6326499999996</v>
      </c>
      <c r="J30" s="58"/>
      <c r="K30" s="101">
        <f>92978.47184+I30</f>
        <v>99578.104489999998</v>
      </c>
      <c r="L30" s="101"/>
      <c r="M30" s="106" t="s">
        <v>40</v>
      </c>
      <c r="N30" s="105" t="s">
        <v>101</v>
      </c>
    </row>
    <row r="31" spans="1:16" ht="36" customHeight="1" x14ac:dyDescent="0.3">
      <c r="A31" s="149" t="s">
        <v>3</v>
      </c>
      <c r="B31" s="150">
        <v>41222</v>
      </c>
      <c r="C31" s="150">
        <v>43464</v>
      </c>
      <c r="D31" s="101" t="s">
        <v>24</v>
      </c>
      <c r="E31" s="101">
        <v>19800</v>
      </c>
      <c r="F31" s="101"/>
      <c r="G31" s="151">
        <v>5520</v>
      </c>
      <c r="H31" s="151"/>
      <c r="I31" s="151">
        <v>3594.8914599999998</v>
      </c>
      <c r="J31" s="151"/>
      <c r="K31" s="151">
        <f>49032.05068+I31</f>
        <v>52626.942139999999</v>
      </c>
      <c r="L31" s="151"/>
      <c r="M31" s="106" t="s">
        <v>40</v>
      </c>
      <c r="N31" s="165" t="s">
        <v>102</v>
      </c>
    </row>
    <row r="32" spans="1:16" ht="36.6" customHeight="1" x14ac:dyDescent="0.3">
      <c r="A32" s="149"/>
      <c r="B32" s="150"/>
      <c r="C32" s="150"/>
      <c r="D32" s="101" t="s">
        <v>25</v>
      </c>
      <c r="E32" s="101">
        <v>9000</v>
      </c>
      <c r="F32" s="101"/>
      <c r="G32" s="151"/>
      <c r="H32" s="151"/>
      <c r="I32" s="151"/>
      <c r="J32" s="151"/>
      <c r="K32" s="151"/>
      <c r="L32" s="151"/>
      <c r="M32" s="106"/>
      <c r="N32" s="165"/>
    </row>
    <row r="33" spans="1:15" ht="53.45" customHeight="1" x14ac:dyDescent="0.3">
      <c r="A33" s="104" t="s">
        <v>56</v>
      </c>
      <c r="B33" s="103">
        <v>42223</v>
      </c>
      <c r="C33" s="103">
        <v>43830</v>
      </c>
      <c r="D33" s="101" t="s">
        <v>25</v>
      </c>
      <c r="E33" s="101">
        <v>60000</v>
      </c>
      <c r="F33" s="101"/>
      <c r="G33" s="101">
        <v>19880</v>
      </c>
      <c r="H33" s="101"/>
      <c r="I33" s="101">
        <v>5550.1260199999997</v>
      </c>
      <c r="J33" s="101"/>
      <c r="K33" s="101">
        <f>6177.40691+I33</f>
        <v>11727.532929999999</v>
      </c>
      <c r="L33" s="101"/>
      <c r="M33" s="106"/>
      <c r="N33" s="105" t="s">
        <v>108</v>
      </c>
    </row>
    <row r="34" spans="1:15" s="11" customFormat="1" ht="39" customHeight="1" x14ac:dyDescent="0.3">
      <c r="A34" s="104" t="s">
        <v>57</v>
      </c>
      <c r="B34" s="103">
        <v>42136</v>
      </c>
      <c r="C34" s="103">
        <v>43232</v>
      </c>
      <c r="D34" s="101" t="s">
        <v>31</v>
      </c>
      <c r="E34" s="101">
        <v>4300</v>
      </c>
      <c r="F34" s="101">
        <v>1843</v>
      </c>
      <c r="G34" s="101">
        <v>1600</v>
      </c>
      <c r="H34" s="101">
        <v>1300</v>
      </c>
      <c r="I34" s="101"/>
      <c r="J34" s="101"/>
      <c r="K34" s="101">
        <f>119.7894+I34</f>
        <v>119.7894</v>
      </c>
      <c r="L34" s="101"/>
      <c r="M34" s="106"/>
      <c r="N34" s="105" t="s">
        <v>109</v>
      </c>
    </row>
    <row r="35" spans="1:15" s="11" customFormat="1" ht="56.25" customHeight="1" x14ac:dyDescent="0.3">
      <c r="A35" s="104" t="s">
        <v>91</v>
      </c>
      <c r="B35" s="103">
        <v>42563</v>
      </c>
      <c r="C35" s="103">
        <v>43036</v>
      </c>
      <c r="D35" s="101" t="s">
        <v>31</v>
      </c>
      <c r="E35" s="101">
        <v>10000</v>
      </c>
      <c r="F35" s="101">
        <v>2000</v>
      </c>
      <c r="G35" s="101">
        <v>20000</v>
      </c>
      <c r="H35" s="101">
        <v>5000</v>
      </c>
      <c r="I35" s="101">
        <v>12332.763080000001</v>
      </c>
      <c r="J35" s="101">
        <v>5280.3906100000004</v>
      </c>
      <c r="K35" s="101">
        <f>I35</f>
        <v>12332.763080000001</v>
      </c>
      <c r="L35" s="59">
        <f>J35</f>
        <v>5280.3906100000004</v>
      </c>
      <c r="M35" s="106"/>
      <c r="N35" s="105" t="s">
        <v>127</v>
      </c>
    </row>
    <row r="36" spans="1:15" s="4" customFormat="1" ht="114.75" customHeight="1" x14ac:dyDescent="0.3">
      <c r="A36" s="104" t="s">
        <v>52</v>
      </c>
      <c r="B36" s="103">
        <v>41884</v>
      </c>
      <c r="C36" s="103">
        <v>43100</v>
      </c>
      <c r="D36" s="101" t="s">
        <v>31</v>
      </c>
      <c r="E36" s="101">
        <v>13200</v>
      </c>
      <c r="F36" s="101"/>
      <c r="G36" s="101">
        <v>15000</v>
      </c>
      <c r="H36" s="101"/>
      <c r="I36" s="101">
        <v>11006.090690000001</v>
      </c>
      <c r="J36" s="58"/>
      <c r="K36" s="101">
        <f>19501.29255+I36</f>
        <v>30507.383239999999</v>
      </c>
      <c r="L36" s="101"/>
      <c r="M36" s="106" t="s">
        <v>41</v>
      </c>
      <c r="N36" s="105" t="s">
        <v>107</v>
      </c>
    </row>
    <row r="37" spans="1:15" s="4" customFormat="1" ht="109.9" customHeight="1" x14ac:dyDescent="0.3">
      <c r="A37" s="104" t="s">
        <v>63</v>
      </c>
      <c r="B37" s="103">
        <v>42411</v>
      </c>
      <c r="C37" s="103">
        <v>44238</v>
      </c>
      <c r="D37" s="101" t="s">
        <v>31</v>
      </c>
      <c r="E37" s="101">
        <v>100000</v>
      </c>
      <c r="F37" s="101"/>
      <c r="G37" s="101">
        <v>26230</v>
      </c>
      <c r="H37" s="101"/>
      <c r="I37" s="101">
        <v>51319.878360000002</v>
      </c>
      <c r="J37" s="101"/>
      <c r="K37" s="101">
        <f>19203.26373+I37</f>
        <v>70523.142090000008</v>
      </c>
      <c r="L37" s="101"/>
      <c r="M37" s="106"/>
      <c r="N37" s="105" t="s">
        <v>103</v>
      </c>
    </row>
    <row r="38" spans="1:15" s="4" customFormat="1" ht="49.5" customHeight="1" thickBot="1" x14ac:dyDescent="0.35">
      <c r="A38" s="60" t="s">
        <v>72</v>
      </c>
      <c r="B38" s="61">
        <v>42713</v>
      </c>
      <c r="C38" s="61">
        <v>44561</v>
      </c>
      <c r="D38" s="62" t="s">
        <v>31</v>
      </c>
      <c r="E38" s="62">
        <v>100000</v>
      </c>
      <c r="F38" s="62"/>
      <c r="G38" s="62">
        <v>5000</v>
      </c>
      <c r="H38" s="62"/>
      <c r="I38" s="62"/>
      <c r="J38" s="62"/>
      <c r="K38" s="63">
        <f>I38</f>
        <v>0</v>
      </c>
      <c r="L38" s="62"/>
      <c r="M38" s="64"/>
      <c r="N38" s="65" t="s">
        <v>110</v>
      </c>
    </row>
    <row r="39" spans="1:15" s="9" customFormat="1" ht="30" customHeight="1" thickBot="1" x14ac:dyDescent="0.35">
      <c r="A39" s="158" t="s">
        <v>15</v>
      </c>
      <c r="B39" s="159"/>
      <c r="C39" s="159"/>
      <c r="D39" s="159"/>
      <c r="E39" s="159"/>
      <c r="F39" s="160"/>
      <c r="G39" s="48">
        <f>G40+G41+G43+G45+G46+G44</f>
        <v>160350</v>
      </c>
      <c r="H39" s="48">
        <f t="shared" ref="H39:L39" si="2">H40+H41+H43+H45+H46+H44</f>
        <v>28650</v>
      </c>
      <c r="I39" s="48">
        <f t="shared" si="2"/>
        <v>119315.99084000001</v>
      </c>
      <c r="J39" s="48">
        <f t="shared" si="2"/>
        <v>14077.14328</v>
      </c>
      <c r="K39" s="48">
        <f t="shared" si="2"/>
        <v>474709.20761399996</v>
      </c>
      <c r="L39" s="48">
        <f t="shared" si="2"/>
        <v>72056.825079999995</v>
      </c>
      <c r="M39" s="49"/>
      <c r="N39" s="50"/>
      <c r="O39" s="13"/>
    </row>
    <row r="40" spans="1:15" ht="45" customHeight="1" x14ac:dyDescent="0.3">
      <c r="A40" s="66" t="s">
        <v>23</v>
      </c>
      <c r="B40" s="67">
        <v>39626</v>
      </c>
      <c r="C40" s="67">
        <v>43373</v>
      </c>
      <c r="D40" s="38" t="s">
        <v>31</v>
      </c>
      <c r="E40" s="38">
        <v>3700</v>
      </c>
      <c r="F40" s="38">
        <v>1814</v>
      </c>
      <c r="G40" s="38">
        <v>300</v>
      </c>
      <c r="H40" s="38"/>
      <c r="I40" s="38">
        <v>1356.8198</v>
      </c>
      <c r="J40" s="68"/>
      <c r="K40" s="38">
        <f>5223.641604+I40</f>
        <v>6580.4614040000006</v>
      </c>
      <c r="L40" s="38">
        <f>3255.61447+J40</f>
        <v>3255.61447</v>
      </c>
      <c r="M40" s="69" t="s">
        <v>40</v>
      </c>
      <c r="N40" s="70" t="s">
        <v>133</v>
      </c>
    </row>
    <row r="41" spans="1:15" ht="262.89999999999998" customHeight="1" x14ac:dyDescent="0.3">
      <c r="A41" s="168" t="s">
        <v>4</v>
      </c>
      <c r="B41" s="123">
        <v>40673</v>
      </c>
      <c r="C41" s="123">
        <v>43738</v>
      </c>
      <c r="D41" s="39" t="s">
        <v>24</v>
      </c>
      <c r="E41" s="39">
        <f>51343+25047+64205+23005</f>
        <v>163600</v>
      </c>
      <c r="F41" s="146"/>
      <c r="G41" s="146">
        <v>112300</v>
      </c>
      <c r="H41" s="146"/>
      <c r="I41" s="146">
        <v>87674.057190000007</v>
      </c>
      <c r="J41" s="147"/>
      <c r="K41" s="146">
        <f>256823.75446+I41</f>
        <v>344497.81164999999</v>
      </c>
      <c r="L41" s="146"/>
      <c r="M41" s="40" t="s">
        <v>7</v>
      </c>
      <c r="N41" s="154" t="s">
        <v>139</v>
      </c>
    </row>
    <row r="42" spans="1:15" ht="264.75" customHeight="1" x14ac:dyDescent="0.3">
      <c r="A42" s="168"/>
      <c r="B42" s="123"/>
      <c r="C42" s="123"/>
      <c r="D42" s="39" t="s">
        <v>25</v>
      </c>
      <c r="E42" s="39">
        <f>108000+43000+99000</f>
        <v>250000</v>
      </c>
      <c r="F42" s="146"/>
      <c r="G42" s="146"/>
      <c r="H42" s="146"/>
      <c r="I42" s="146"/>
      <c r="J42" s="147"/>
      <c r="K42" s="146"/>
      <c r="L42" s="146"/>
      <c r="M42" s="40"/>
      <c r="N42" s="153"/>
    </row>
    <row r="43" spans="1:15" ht="189" customHeight="1" x14ac:dyDescent="0.3">
      <c r="A43" s="71" t="s">
        <v>73</v>
      </c>
      <c r="B43" s="21">
        <v>40773</v>
      </c>
      <c r="C43" s="21">
        <v>43830</v>
      </c>
      <c r="D43" s="72" t="s">
        <v>31</v>
      </c>
      <c r="E43" s="72">
        <f>2988.339+4000+20000</f>
        <v>26988.339</v>
      </c>
      <c r="F43" s="72">
        <f>4500+6728.536+9000+4000+7000</f>
        <v>31228.536</v>
      </c>
      <c r="G43" s="39">
        <v>17000</v>
      </c>
      <c r="H43" s="39">
        <v>15000</v>
      </c>
      <c r="I43" s="72">
        <v>6475.2916699999996</v>
      </c>
      <c r="J43" s="72">
        <v>7748.5800300000001</v>
      </c>
      <c r="K43" s="39">
        <f>27348.72205+I43</f>
        <v>33824.013720000003</v>
      </c>
      <c r="L43" s="72">
        <f>38461.91551+J43</f>
        <v>46210.495539999996</v>
      </c>
      <c r="M43" s="39" t="s">
        <v>8</v>
      </c>
      <c r="N43" s="73" t="s">
        <v>92</v>
      </c>
    </row>
    <row r="44" spans="1:15" ht="42" customHeight="1" x14ac:dyDescent="0.3">
      <c r="A44" s="71" t="s">
        <v>85</v>
      </c>
      <c r="B44" s="21">
        <v>42360</v>
      </c>
      <c r="C44" s="21">
        <v>44012</v>
      </c>
      <c r="D44" s="39" t="s">
        <v>31</v>
      </c>
      <c r="E44" s="39">
        <v>30000</v>
      </c>
      <c r="F44" s="39">
        <v>2000</v>
      </c>
      <c r="G44" s="39">
        <v>11000</v>
      </c>
      <c r="H44" s="39">
        <v>4500</v>
      </c>
      <c r="I44" s="39">
        <v>12365.684020000001</v>
      </c>
      <c r="J44" s="39">
        <v>1461.40219</v>
      </c>
      <c r="K44" s="39">
        <f>5434.09035+I44</f>
        <v>17799.774369999999</v>
      </c>
      <c r="L44" s="39">
        <f>600.21238+J44</f>
        <v>2061.6145700000002</v>
      </c>
      <c r="M44" s="39"/>
      <c r="N44" s="73" t="s">
        <v>111</v>
      </c>
    </row>
    <row r="45" spans="1:15" ht="35.1" customHeight="1" x14ac:dyDescent="0.3">
      <c r="A45" s="71" t="s">
        <v>93</v>
      </c>
      <c r="B45" s="21">
        <v>41506</v>
      </c>
      <c r="C45" s="43">
        <v>43332</v>
      </c>
      <c r="D45" s="39" t="s">
        <v>31</v>
      </c>
      <c r="E45" s="39">
        <v>40000</v>
      </c>
      <c r="F45" s="39">
        <v>8000</v>
      </c>
      <c r="G45" s="39">
        <v>19750</v>
      </c>
      <c r="H45" s="39">
        <v>4000</v>
      </c>
      <c r="I45" s="39">
        <v>11444.13816</v>
      </c>
      <c r="J45" s="72">
        <v>2375.19632</v>
      </c>
      <c r="K45" s="39">
        <f>60563.00831+I45</f>
        <v>72007.146469999992</v>
      </c>
      <c r="L45" s="39">
        <f>12403.79441+J45</f>
        <v>14778.990730000001</v>
      </c>
      <c r="M45" s="40" t="s">
        <v>40</v>
      </c>
      <c r="N45" s="73" t="s">
        <v>112</v>
      </c>
    </row>
    <row r="46" spans="1:15" ht="41.45" customHeight="1" thickBot="1" x14ac:dyDescent="0.35">
      <c r="A46" s="74" t="s">
        <v>36</v>
      </c>
      <c r="B46" s="45">
        <v>41480</v>
      </c>
      <c r="C46" s="45">
        <v>43281</v>
      </c>
      <c r="D46" s="46" t="s">
        <v>25</v>
      </c>
      <c r="E46" s="46"/>
      <c r="F46" s="46">
        <v>10052.155000000001</v>
      </c>
      <c r="G46" s="46"/>
      <c r="H46" s="46">
        <v>5150</v>
      </c>
      <c r="I46" s="46"/>
      <c r="J46" s="75">
        <v>2491.9647399999999</v>
      </c>
      <c r="K46" s="46"/>
      <c r="L46" s="46">
        <f>3258.14503+J46</f>
        <v>5750.10977</v>
      </c>
      <c r="M46" s="47" t="s">
        <v>40</v>
      </c>
      <c r="N46" s="117" t="s">
        <v>136</v>
      </c>
    </row>
    <row r="47" spans="1:15" s="9" customFormat="1" ht="30" customHeight="1" thickBot="1" x14ac:dyDescent="0.35">
      <c r="A47" s="158" t="s">
        <v>11</v>
      </c>
      <c r="B47" s="159"/>
      <c r="C47" s="159"/>
      <c r="D47" s="159"/>
      <c r="E47" s="159"/>
      <c r="F47" s="160"/>
      <c r="G47" s="48">
        <f t="shared" ref="G47:L47" si="3">G48+G50+G54+G51+G49+G53+G52+G55+G56+G57+G58</f>
        <v>87600</v>
      </c>
      <c r="H47" s="48">
        <f t="shared" si="3"/>
        <v>4000</v>
      </c>
      <c r="I47" s="48">
        <f t="shared" si="3"/>
        <v>85203.159920000006</v>
      </c>
      <c r="J47" s="48">
        <f t="shared" si="3"/>
        <v>2687.2684599999998</v>
      </c>
      <c r="K47" s="48">
        <f t="shared" si="3"/>
        <v>276599.00904499996</v>
      </c>
      <c r="L47" s="48">
        <f t="shared" si="3"/>
        <v>31233.507570000002</v>
      </c>
      <c r="M47" s="49"/>
      <c r="N47" s="50"/>
    </row>
    <row r="48" spans="1:15" ht="108.6" customHeight="1" x14ac:dyDescent="0.3">
      <c r="A48" s="66" t="s">
        <v>60</v>
      </c>
      <c r="B48" s="67">
        <v>40540</v>
      </c>
      <c r="C48" s="67">
        <v>43084</v>
      </c>
      <c r="D48" s="38" t="s">
        <v>31</v>
      </c>
      <c r="E48" s="38">
        <v>23500</v>
      </c>
      <c r="F48" s="38">
        <v>5000</v>
      </c>
      <c r="G48" s="38">
        <v>7600</v>
      </c>
      <c r="H48" s="38">
        <v>3500</v>
      </c>
      <c r="I48" s="38">
        <v>10528.35</v>
      </c>
      <c r="J48" s="38"/>
      <c r="K48" s="38">
        <f>47325.72902+I48</f>
        <v>57854.079019999997</v>
      </c>
      <c r="L48" s="38">
        <f>9794.55065+J48</f>
        <v>9794.5506499999992</v>
      </c>
      <c r="M48" s="69" t="s">
        <v>9</v>
      </c>
      <c r="N48" s="70" t="s">
        <v>113</v>
      </c>
    </row>
    <row r="49" spans="1:14" ht="39.75" customHeight="1" x14ac:dyDescent="0.3">
      <c r="A49" s="93" t="s">
        <v>78</v>
      </c>
      <c r="B49" s="92">
        <v>42677</v>
      </c>
      <c r="C49" s="92">
        <v>42916</v>
      </c>
      <c r="D49" s="77" t="s">
        <v>31</v>
      </c>
      <c r="E49" s="39"/>
      <c r="F49" s="114">
        <v>174.75</v>
      </c>
      <c r="G49" s="39"/>
      <c r="H49" s="39">
        <v>500</v>
      </c>
      <c r="I49" s="39"/>
      <c r="J49" s="72">
        <v>488.27683999999999</v>
      </c>
      <c r="K49" s="39"/>
      <c r="L49" s="39">
        <f>J49</f>
        <v>488.27683999999999</v>
      </c>
      <c r="M49" s="40"/>
      <c r="N49" s="94" t="s">
        <v>132</v>
      </c>
    </row>
    <row r="50" spans="1:14" ht="54.6" customHeight="1" x14ac:dyDescent="0.3">
      <c r="A50" s="79" t="s">
        <v>94</v>
      </c>
      <c r="B50" s="169">
        <v>41572</v>
      </c>
      <c r="C50" s="169">
        <v>43463</v>
      </c>
      <c r="D50" s="133" t="s">
        <v>31</v>
      </c>
      <c r="E50" s="133">
        <f>25200+35000</f>
        <v>60200</v>
      </c>
      <c r="F50" s="39">
        <v>8000</v>
      </c>
      <c r="G50" s="39">
        <v>10000</v>
      </c>
      <c r="H50" s="39"/>
      <c r="I50" s="39">
        <v>23718.067459999998</v>
      </c>
      <c r="J50" s="39">
        <v>2198.9916199999998</v>
      </c>
      <c r="K50" s="39">
        <f>64204.670155+I50</f>
        <v>87922.737614999991</v>
      </c>
      <c r="L50" s="39">
        <f>18751.68846+J50</f>
        <v>20950.680080000002</v>
      </c>
      <c r="M50" s="40" t="s">
        <v>33</v>
      </c>
      <c r="N50" s="164" t="s">
        <v>95</v>
      </c>
    </row>
    <row r="51" spans="1:14" s="11" customFormat="1" ht="50.1" customHeight="1" x14ac:dyDescent="0.3">
      <c r="A51" s="79" t="s">
        <v>96</v>
      </c>
      <c r="B51" s="170"/>
      <c r="C51" s="170"/>
      <c r="D51" s="172"/>
      <c r="E51" s="172"/>
      <c r="F51" s="39"/>
      <c r="G51" s="39">
        <v>18000</v>
      </c>
      <c r="H51" s="39"/>
      <c r="I51" s="39">
        <v>20850.69888</v>
      </c>
      <c r="J51" s="39"/>
      <c r="K51" s="39">
        <f>11584.29654+I51</f>
        <v>32434.995419999999</v>
      </c>
      <c r="L51" s="39"/>
      <c r="M51" s="40"/>
      <c r="N51" s="164"/>
    </row>
    <row r="52" spans="1:14" ht="42.75" customHeight="1" x14ac:dyDescent="0.3">
      <c r="A52" s="71" t="s">
        <v>80</v>
      </c>
      <c r="B52" s="171"/>
      <c r="C52" s="171"/>
      <c r="D52" s="134"/>
      <c r="E52" s="134"/>
      <c r="F52" s="39"/>
      <c r="G52" s="39">
        <v>7500</v>
      </c>
      <c r="H52" s="39"/>
      <c r="I52" s="39">
        <v>5120.6747100000002</v>
      </c>
      <c r="J52" s="72"/>
      <c r="K52" s="39">
        <f>I52</f>
        <v>5120.6747100000002</v>
      </c>
      <c r="L52" s="39"/>
      <c r="M52" s="40"/>
      <c r="N52" s="78" t="s">
        <v>114</v>
      </c>
    </row>
    <row r="53" spans="1:14" ht="87.75" customHeight="1" x14ac:dyDescent="0.3">
      <c r="A53" s="71" t="s">
        <v>79</v>
      </c>
      <c r="B53" s="21">
        <v>42838</v>
      </c>
      <c r="C53" s="43">
        <v>44742</v>
      </c>
      <c r="D53" s="119" t="s">
        <v>31</v>
      </c>
      <c r="E53" s="116">
        <v>125000</v>
      </c>
      <c r="F53" s="39"/>
      <c r="G53" s="39">
        <v>3180</v>
      </c>
      <c r="H53" s="39"/>
      <c r="I53" s="39"/>
      <c r="J53" s="72"/>
      <c r="K53" s="39"/>
      <c r="L53" s="39"/>
      <c r="M53" s="40"/>
      <c r="N53" s="78" t="s">
        <v>88</v>
      </c>
    </row>
    <row r="54" spans="1:14" ht="42" customHeight="1" x14ac:dyDescent="0.3">
      <c r="A54" s="71" t="s">
        <v>64</v>
      </c>
      <c r="B54" s="123">
        <v>41885</v>
      </c>
      <c r="C54" s="123">
        <v>43555</v>
      </c>
      <c r="D54" s="39" t="s">
        <v>25</v>
      </c>
      <c r="E54" s="146">
        <v>60000</v>
      </c>
      <c r="F54" s="39"/>
      <c r="G54" s="39">
        <v>35000</v>
      </c>
      <c r="H54" s="39"/>
      <c r="I54" s="39">
        <v>24553.450229999999</v>
      </c>
      <c r="J54" s="72"/>
      <c r="K54" s="39">
        <f>68281.15341+I54</f>
        <v>92834.603640000001</v>
      </c>
      <c r="L54" s="39"/>
      <c r="M54" s="40"/>
      <c r="N54" s="73" t="s">
        <v>115</v>
      </c>
    </row>
    <row r="55" spans="1:14" ht="42" customHeight="1" x14ac:dyDescent="0.3">
      <c r="A55" s="71" t="s">
        <v>81</v>
      </c>
      <c r="B55" s="123"/>
      <c r="C55" s="123"/>
      <c r="D55" s="39" t="s">
        <v>25</v>
      </c>
      <c r="E55" s="175"/>
      <c r="F55" s="39"/>
      <c r="G55" s="39">
        <v>2000</v>
      </c>
      <c r="H55" s="39"/>
      <c r="I55" s="39">
        <v>431.91863999999998</v>
      </c>
      <c r="J55" s="72"/>
      <c r="K55" s="39">
        <f>I55</f>
        <v>431.91863999999998</v>
      </c>
      <c r="L55" s="39"/>
      <c r="M55" s="40"/>
      <c r="N55" s="73" t="s">
        <v>116</v>
      </c>
    </row>
    <row r="56" spans="1:14" ht="146.25" customHeight="1" x14ac:dyDescent="0.3">
      <c r="A56" s="71" t="s">
        <v>82</v>
      </c>
      <c r="B56" s="21"/>
      <c r="C56" s="21"/>
      <c r="D56" s="39"/>
      <c r="E56" s="39"/>
      <c r="F56" s="39"/>
      <c r="G56" s="39">
        <v>1700</v>
      </c>
      <c r="H56" s="39"/>
      <c r="I56" s="39"/>
      <c r="J56" s="72"/>
      <c r="K56" s="39"/>
      <c r="L56" s="39"/>
      <c r="M56" s="40"/>
      <c r="N56" s="78" t="s">
        <v>104</v>
      </c>
    </row>
    <row r="57" spans="1:14" ht="77.25" customHeight="1" x14ac:dyDescent="0.3">
      <c r="A57" s="71" t="s">
        <v>83</v>
      </c>
      <c r="B57" s="21"/>
      <c r="C57" s="21"/>
      <c r="D57" s="39"/>
      <c r="E57" s="39"/>
      <c r="F57" s="39"/>
      <c r="G57" s="39">
        <v>1720</v>
      </c>
      <c r="H57" s="39"/>
      <c r="I57" s="39"/>
      <c r="J57" s="72"/>
      <c r="K57" s="39"/>
      <c r="L57" s="39"/>
      <c r="M57" s="40"/>
      <c r="N57" s="73" t="s">
        <v>89</v>
      </c>
    </row>
    <row r="58" spans="1:14" ht="94.5" customHeight="1" thickBot="1" x14ac:dyDescent="0.35">
      <c r="A58" s="74" t="s">
        <v>84</v>
      </c>
      <c r="B58" s="45"/>
      <c r="C58" s="45"/>
      <c r="D58" s="46"/>
      <c r="E58" s="46"/>
      <c r="F58" s="46"/>
      <c r="G58" s="46">
        <v>900</v>
      </c>
      <c r="H58" s="46"/>
      <c r="I58" s="46"/>
      <c r="J58" s="75"/>
      <c r="K58" s="46"/>
      <c r="L58" s="46"/>
      <c r="M58" s="47"/>
      <c r="N58" s="76" t="s">
        <v>90</v>
      </c>
    </row>
    <row r="59" spans="1:14" s="9" customFormat="1" ht="24.75" customHeight="1" thickBot="1" x14ac:dyDescent="0.35">
      <c r="A59" s="158" t="s">
        <v>17</v>
      </c>
      <c r="B59" s="159"/>
      <c r="C59" s="159"/>
      <c r="D59" s="159"/>
      <c r="E59" s="159"/>
      <c r="F59" s="160"/>
      <c r="G59" s="48">
        <f t="shared" ref="G59:H59" si="4">G60+G63+G66+G65+G64</f>
        <v>32385</v>
      </c>
      <c r="H59" s="48">
        <f t="shared" si="4"/>
        <v>3110</v>
      </c>
      <c r="I59" s="48">
        <f>I60+I63+I66+I65+I64</f>
        <v>21063.763699999996</v>
      </c>
      <c r="J59" s="48">
        <f>J60+J63+J66+J65+J64</f>
        <v>1705.3893300000002</v>
      </c>
      <c r="K59" s="48">
        <f t="shared" ref="K59:L59" si="5">K60+K63+K66+K65+K64</f>
        <v>35953.550515999996</v>
      </c>
      <c r="L59" s="48">
        <f t="shared" si="5"/>
        <v>22175.133530000003</v>
      </c>
      <c r="M59" s="49"/>
      <c r="N59" s="50"/>
    </row>
    <row r="60" spans="1:14" ht="120" customHeight="1" x14ac:dyDescent="0.3">
      <c r="A60" s="167" t="s">
        <v>53</v>
      </c>
      <c r="B60" s="80">
        <v>42052</v>
      </c>
      <c r="C60" s="81">
        <v>43513</v>
      </c>
      <c r="D60" s="38" t="s">
        <v>24</v>
      </c>
      <c r="E60" s="38">
        <v>8610</v>
      </c>
      <c r="F60" s="38"/>
      <c r="G60" s="145">
        <v>5850</v>
      </c>
      <c r="H60" s="145">
        <v>1940</v>
      </c>
      <c r="I60" s="145">
        <v>4999.1109699999997</v>
      </c>
      <c r="J60" s="145">
        <v>1660.1466600000001</v>
      </c>
      <c r="K60" s="145">
        <f>1194.93035+I60</f>
        <v>6194.0413200000003</v>
      </c>
      <c r="L60" s="145">
        <f>908.99557+J60</f>
        <v>2569.1422300000004</v>
      </c>
      <c r="M60" s="69"/>
      <c r="N60" s="162" t="s">
        <v>148</v>
      </c>
    </row>
    <row r="61" spans="1:14" ht="120" customHeight="1" x14ac:dyDescent="0.3">
      <c r="A61" s="168"/>
      <c r="B61" s="43">
        <v>41978</v>
      </c>
      <c r="C61" s="82">
        <v>42735</v>
      </c>
      <c r="D61" s="39" t="s">
        <v>25</v>
      </c>
      <c r="E61" s="39"/>
      <c r="F61" s="39">
        <v>500</v>
      </c>
      <c r="G61" s="146"/>
      <c r="H61" s="146"/>
      <c r="I61" s="146"/>
      <c r="J61" s="146"/>
      <c r="K61" s="146"/>
      <c r="L61" s="146"/>
      <c r="M61" s="40"/>
      <c r="N61" s="163"/>
    </row>
    <row r="62" spans="1:14" ht="120" customHeight="1" x14ac:dyDescent="0.3">
      <c r="A62" s="168"/>
      <c r="B62" s="43">
        <v>42052</v>
      </c>
      <c r="C62" s="83">
        <v>43513</v>
      </c>
      <c r="D62" s="39" t="s">
        <v>25</v>
      </c>
      <c r="E62" s="39"/>
      <c r="F62" s="39">
        <v>5300</v>
      </c>
      <c r="G62" s="146"/>
      <c r="H62" s="146"/>
      <c r="I62" s="146"/>
      <c r="J62" s="146"/>
      <c r="K62" s="146"/>
      <c r="L62" s="146"/>
      <c r="M62" s="40"/>
      <c r="N62" s="163"/>
    </row>
    <row r="63" spans="1:14" ht="64.5" customHeight="1" x14ac:dyDescent="0.3">
      <c r="A63" s="168" t="s">
        <v>55</v>
      </c>
      <c r="B63" s="123">
        <v>41964</v>
      </c>
      <c r="C63" s="123">
        <v>43677</v>
      </c>
      <c r="D63" s="147" t="s">
        <v>24</v>
      </c>
      <c r="E63" s="146">
        <v>32400</v>
      </c>
      <c r="F63" s="146"/>
      <c r="G63" s="39">
        <v>2385</v>
      </c>
      <c r="H63" s="39"/>
      <c r="I63" s="39">
        <v>14851.88984</v>
      </c>
      <c r="J63" s="72"/>
      <c r="K63" s="39">
        <f>13654.130216+I63</f>
        <v>28506.020056000001</v>
      </c>
      <c r="L63" s="39">
        <v>19105.064300000002</v>
      </c>
      <c r="M63" s="40"/>
      <c r="N63" s="73" t="s">
        <v>117</v>
      </c>
    </row>
    <row r="64" spans="1:14" ht="63" customHeight="1" x14ac:dyDescent="0.3">
      <c r="A64" s="168"/>
      <c r="B64" s="123"/>
      <c r="C64" s="123"/>
      <c r="D64" s="147"/>
      <c r="E64" s="146"/>
      <c r="F64" s="146"/>
      <c r="G64" s="39">
        <v>19150</v>
      </c>
      <c r="H64" s="39"/>
      <c r="I64" s="39">
        <v>1212.76289</v>
      </c>
      <c r="J64" s="72"/>
      <c r="K64" s="39">
        <f>40.72625+I64</f>
        <v>1253.4891399999999</v>
      </c>
      <c r="L64" s="39"/>
      <c r="M64" s="40"/>
      <c r="N64" s="73" t="s">
        <v>118</v>
      </c>
    </row>
    <row r="65" spans="1:14" ht="50.25" customHeight="1" x14ac:dyDescent="0.3">
      <c r="A65" s="71" t="s">
        <v>77</v>
      </c>
      <c r="B65" s="21">
        <v>42713</v>
      </c>
      <c r="C65" s="21">
        <v>44174</v>
      </c>
      <c r="D65" s="39" t="s">
        <v>31</v>
      </c>
      <c r="E65" s="39">
        <v>100000</v>
      </c>
      <c r="F65" s="39"/>
      <c r="G65" s="39">
        <v>5000</v>
      </c>
      <c r="H65" s="39"/>
      <c r="I65" s="39"/>
      <c r="J65" s="39"/>
      <c r="K65" s="39"/>
      <c r="L65" s="39"/>
      <c r="M65" s="40"/>
      <c r="N65" s="73" t="s">
        <v>119</v>
      </c>
    </row>
    <row r="66" spans="1:14" ht="82.5" customHeight="1" thickBot="1" x14ac:dyDescent="0.35">
      <c r="A66" s="74" t="s">
        <v>54</v>
      </c>
      <c r="B66" s="45">
        <v>41946</v>
      </c>
      <c r="C66" s="84">
        <v>43190</v>
      </c>
      <c r="D66" s="75" t="s">
        <v>31</v>
      </c>
      <c r="E66" s="46"/>
      <c r="F66" s="46">
        <v>861</v>
      </c>
      <c r="G66" s="46"/>
      <c r="H66" s="46">
        <v>1170</v>
      </c>
      <c r="I66" s="46"/>
      <c r="J66" s="46">
        <v>45.242669999999997</v>
      </c>
      <c r="K66" s="46"/>
      <c r="L66" s="46">
        <f>455.68433+J66</f>
        <v>500.92699999999996</v>
      </c>
      <c r="M66" s="47"/>
      <c r="N66" s="76" t="s">
        <v>120</v>
      </c>
    </row>
    <row r="67" spans="1:14" s="9" customFormat="1" ht="29.25" customHeight="1" thickBot="1" x14ac:dyDescent="0.35">
      <c r="A67" s="158" t="s">
        <v>19</v>
      </c>
      <c r="B67" s="159"/>
      <c r="C67" s="159"/>
      <c r="D67" s="159"/>
      <c r="E67" s="159"/>
      <c r="F67" s="160"/>
      <c r="G67" s="48">
        <f>G68+G69</f>
        <v>0</v>
      </c>
      <c r="H67" s="48">
        <f t="shared" ref="H67:L67" si="6">H68+H69</f>
        <v>4100</v>
      </c>
      <c r="I67" s="48">
        <f t="shared" si="6"/>
        <v>0</v>
      </c>
      <c r="J67" s="48">
        <f t="shared" si="6"/>
        <v>5336.8935999999994</v>
      </c>
      <c r="K67" s="48">
        <f t="shared" si="6"/>
        <v>0</v>
      </c>
      <c r="L67" s="48">
        <f t="shared" si="6"/>
        <v>17938.686460000001</v>
      </c>
      <c r="M67" s="85"/>
      <c r="N67" s="48"/>
    </row>
    <row r="68" spans="1:14" ht="156" customHeight="1" x14ac:dyDescent="0.3">
      <c r="A68" s="66" t="s">
        <v>16</v>
      </c>
      <c r="B68" s="80">
        <v>40119</v>
      </c>
      <c r="C68" s="67">
        <v>43465</v>
      </c>
      <c r="D68" s="38" t="s">
        <v>31</v>
      </c>
      <c r="E68" s="38"/>
      <c r="F68" s="38">
        <v>2267</v>
      </c>
      <c r="G68" s="38"/>
      <c r="H68" s="38">
        <v>1200</v>
      </c>
      <c r="I68" s="38"/>
      <c r="J68" s="68">
        <v>786.80790000000002</v>
      </c>
      <c r="K68" s="38"/>
      <c r="L68" s="38">
        <f>4014.9662+J68</f>
        <v>4801.7740999999996</v>
      </c>
      <c r="M68" s="69" t="s">
        <v>44</v>
      </c>
      <c r="N68" s="70" t="s">
        <v>99</v>
      </c>
    </row>
    <row r="69" spans="1:14" ht="199.5" customHeight="1" thickBot="1" x14ac:dyDescent="0.35">
      <c r="A69" s="74" t="s">
        <v>5</v>
      </c>
      <c r="B69" s="84">
        <v>40589</v>
      </c>
      <c r="C69" s="84">
        <v>43100</v>
      </c>
      <c r="D69" s="75" t="s">
        <v>31</v>
      </c>
      <c r="E69" s="46"/>
      <c r="F69" s="46">
        <v>8250</v>
      </c>
      <c r="G69" s="46"/>
      <c r="H69" s="46">
        <v>2900</v>
      </c>
      <c r="I69" s="46"/>
      <c r="J69" s="46">
        <v>4550.0856999999996</v>
      </c>
      <c r="K69" s="46"/>
      <c r="L69" s="46">
        <f>8586.82666+J69</f>
        <v>13136.91236</v>
      </c>
      <c r="M69" s="47" t="s">
        <v>44</v>
      </c>
      <c r="N69" s="86" t="s">
        <v>140</v>
      </c>
    </row>
    <row r="70" spans="1:14" s="9" customFormat="1" ht="26.25" customHeight="1" thickBot="1" x14ac:dyDescent="0.35">
      <c r="A70" s="158" t="s">
        <v>18</v>
      </c>
      <c r="B70" s="159"/>
      <c r="C70" s="159"/>
      <c r="D70" s="159"/>
      <c r="E70" s="159"/>
      <c r="F70" s="160"/>
      <c r="G70" s="48">
        <f t="shared" ref="G70:L70" si="7">G71+G77+G74+G75+G76+G72+G73</f>
        <v>148000</v>
      </c>
      <c r="H70" s="48">
        <f t="shared" si="7"/>
        <v>95000</v>
      </c>
      <c r="I70" s="48">
        <f>I71+I77+I74+I75+I76+I72+I73</f>
        <v>156740.38089</v>
      </c>
      <c r="J70" s="48">
        <f t="shared" si="7"/>
        <v>89906.609179999999</v>
      </c>
      <c r="K70" s="48">
        <f t="shared" si="7"/>
        <v>275973.04243000003</v>
      </c>
      <c r="L70" s="48">
        <f t="shared" si="7"/>
        <v>195172.08323139997</v>
      </c>
      <c r="M70" s="85"/>
      <c r="N70" s="48"/>
    </row>
    <row r="71" spans="1:14" ht="248.45" customHeight="1" x14ac:dyDescent="0.3">
      <c r="A71" s="66" t="s">
        <v>49</v>
      </c>
      <c r="B71" s="80">
        <v>41103</v>
      </c>
      <c r="C71" s="80">
        <v>43307</v>
      </c>
      <c r="D71" s="68" t="s">
        <v>25</v>
      </c>
      <c r="E71" s="38"/>
      <c r="F71" s="38">
        <f>140000+2700</f>
        <v>142700</v>
      </c>
      <c r="G71" s="38"/>
      <c r="H71" s="38">
        <v>80000</v>
      </c>
      <c r="I71" s="38"/>
      <c r="J71" s="68">
        <v>76902.06998</v>
      </c>
      <c r="K71" s="38"/>
      <c r="L71" s="38">
        <f>99459.3625414+J71</f>
        <v>176361.43252139998</v>
      </c>
      <c r="M71" s="69" t="s">
        <v>14</v>
      </c>
      <c r="N71" s="118" t="s">
        <v>137</v>
      </c>
    </row>
    <row r="72" spans="1:14" ht="54" customHeight="1" x14ac:dyDescent="0.3">
      <c r="A72" s="71" t="s">
        <v>76</v>
      </c>
      <c r="B72" s="21">
        <v>42661</v>
      </c>
      <c r="C72" s="21">
        <v>44377</v>
      </c>
      <c r="D72" s="39" t="s">
        <v>31</v>
      </c>
      <c r="E72" s="39">
        <v>14000</v>
      </c>
      <c r="F72" s="39"/>
      <c r="G72" s="39">
        <v>4000</v>
      </c>
      <c r="H72" s="39"/>
      <c r="I72" s="39"/>
      <c r="J72" s="39"/>
      <c r="K72" s="39"/>
      <c r="L72" s="42">
        <f>J72</f>
        <v>0</v>
      </c>
      <c r="M72" s="40"/>
      <c r="N72" s="73" t="s">
        <v>129</v>
      </c>
    </row>
    <row r="73" spans="1:14" ht="62.25" customHeight="1" x14ac:dyDescent="0.3">
      <c r="A73" s="108" t="s">
        <v>86</v>
      </c>
      <c r="B73" s="109">
        <v>42839</v>
      </c>
      <c r="C73" s="109">
        <v>43830</v>
      </c>
      <c r="D73" s="110" t="s">
        <v>31</v>
      </c>
      <c r="E73" s="110">
        <v>7000</v>
      </c>
      <c r="F73" s="110"/>
      <c r="G73" s="110">
        <v>1000</v>
      </c>
      <c r="H73" s="110"/>
      <c r="I73" s="110">
        <v>4888.2750999999998</v>
      </c>
      <c r="J73" s="110"/>
      <c r="K73" s="110">
        <f>I73</f>
        <v>4888.2750999999998</v>
      </c>
      <c r="L73" s="111">
        <f>J73</f>
        <v>0</v>
      </c>
      <c r="M73" s="112"/>
      <c r="N73" s="107" t="s">
        <v>130</v>
      </c>
    </row>
    <row r="74" spans="1:14" ht="46.5" customHeight="1" x14ac:dyDescent="0.3">
      <c r="A74" s="79" t="s">
        <v>62</v>
      </c>
      <c r="B74" s="21">
        <v>42346</v>
      </c>
      <c r="C74" s="21">
        <v>43228</v>
      </c>
      <c r="D74" s="39" t="s">
        <v>31</v>
      </c>
      <c r="E74" s="39">
        <v>82821</v>
      </c>
      <c r="F74" s="39"/>
      <c r="G74" s="39">
        <v>78000</v>
      </c>
      <c r="H74" s="39"/>
      <c r="I74" s="39">
        <v>94177.299270000003</v>
      </c>
      <c r="J74" s="39"/>
      <c r="K74" s="39">
        <f>104087.70169+I74</f>
        <v>198265.00096</v>
      </c>
      <c r="L74" s="39"/>
      <c r="M74" s="40"/>
      <c r="N74" s="73" t="s">
        <v>121</v>
      </c>
    </row>
    <row r="75" spans="1:14" ht="48" customHeight="1" x14ac:dyDescent="0.3">
      <c r="A75" s="79" t="s">
        <v>75</v>
      </c>
      <c r="B75" s="21">
        <v>42501</v>
      </c>
      <c r="C75" s="109">
        <v>43100</v>
      </c>
      <c r="D75" s="39" t="s">
        <v>31</v>
      </c>
      <c r="E75" s="39">
        <v>27000</v>
      </c>
      <c r="F75" s="39">
        <v>7000</v>
      </c>
      <c r="G75" s="39">
        <v>50000</v>
      </c>
      <c r="H75" s="39">
        <v>12000</v>
      </c>
      <c r="I75" s="39">
        <v>56858.737059999999</v>
      </c>
      <c r="J75" s="39">
        <v>13004.539199999999</v>
      </c>
      <c r="K75" s="39">
        <f>14810.202+I75</f>
        <v>71668.939060000004</v>
      </c>
      <c r="L75" s="39">
        <f>5806.11151+J75</f>
        <v>18810.650709999998</v>
      </c>
      <c r="M75" s="40"/>
      <c r="N75" s="73" t="s">
        <v>122</v>
      </c>
    </row>
    <row r="76" spans="1:14" ht="38.25" customHeight="1" x14ac:dyDescent="0.3">
      <c r="A76" s="79" t="s">
        <v>74</v>
      </c>
      <c r="B76" s="21">
        <v>42929</v>
      </c>
      <c r="C76" s="21">
        <v>43830</v>
      </c>
      <c r="D76" s="39" t="s">
        <v>31</v>
      </c>
      <c r="E76" s="39">
        <v>5500</v>
      </c>
      <c r="F76" s="39">
        <v>1500</v>
      </c>
      <c r="G76" s="39">
        <v>10000</v>
      </c>
      <c r="H76" s="39">
        <v>3000</v>
      </c>
      <c r="I76" s="39"/>
      <c r="J76" s="39"/>
      <c r="K76" s="42">
        <f>I76</f>
        <v>0</v>
      </c>
      <c r="L76" s="42">
        <f>J76</f>
        <v>0</v>
      </c>
      <c r="M76" s="40"/>
      <c r="N76" s="87" t="s">
        <v>123</v>
      </c>
    </row>
    <row r="77" spans="1:14" s="11" customFormat="1" ht="243.75" customHeight="1" thickBot="1" x14ac:dyDescent="0.35">
      <c r="A77" s="74" t="s">
        <v>61</v>
      </c>
      <c r="B77" s="84">
        <v>42457</v>
      </c>
      <c r="C77" s="84">
        <v>44316</v>
      </c>
      <c r="D77" s="75" t="s">
        <v>25</v>
      </c>
      <c r="E77" s="46">
        <v>40000000</v>
      </c>
      <c r="F77" s="46"/>
      <c r="G77" s="46">
        <v>5000</v>
      </c>
      <c r="H77" s="46"/>
      <c r="I77" s="46">
        <v>816.06946000000005</v>
      </c>
      <c r="J77" s="46"/>
      <c r="K77" s="46">
        <f>334.75785+I77</f>
        <v>1150.8273100000001</v>
      </c>
      <c r="L77" s="46"/>
      <c r="M77" s="47"/>
      <c r="N77" s="117" t="s">
        <v>145</v>
      </c>
    </row>
    <row r="78" spans="1:14" s="8" customFormat="1" ht="29.25" customHeight="1" thickBot="1" x14ac:dyDescent="0.35">
      <c r="A78" s="88"/>
      <c r="B78" s="89"/>
      <c r="C78" s="89"/>
      <c r="D78" s="90"/>
      <c r="E78" s="91"/>
      <c r="F78" s="48" t="s">
        <v>27</v>
      </c>
      <c r="G78" s="48">
        <f t="shared" ref="G78:L78" si="8">G7+G24+G39+G47+G59+G67+G70</f>
        <v>922715</v>
      </c>
      <c r="H78" s="48">
        <f t="shared" si="8"/>
        <v>154460</v>
      </c>
      <c r="I78" s="48">
        <f t="shared" si="8"/>
        <v>840782.24496000004</v>
      </c>
      <c r="J78" s="48">
        <f t="shared" si="8"/>
        <v>131288.96461</v>
      </c>
      <c r="K78" s="48">
        <f t="shared" si="8"/>
        <v>3037603.6844550003</v>
      </c>
      <c r="L78" s="48">
        <f t="shared" si="8"/>
        <v>373072.42413139995</v>
      </c>
      <c r="M78" s="91"/>
      <c r="N78" s="48"/>
    </row>
    <row r="79" spans="1:14" ht="8.25" customHeight="1" x14ac:dyDescent="0.3">
      <c r="A79" s="20"/>
      <c r="B79" s="19"/>
      <c r="C79" s="19"/>
      <c r="D79" s="20"/>
      <c r="E79" s="20"/>
      <c r="F79" s="20"/>
      <c r="G79" s="20"/>
      <c r="H79" s="20"/>
      <c r="I79" s="20"/>
      <c r="J79" s="20"/>
      <c r="K79" s="20"/>
      <c r="L79" s="20"/>
      <c r="M79" s="20"/>
      <c r="N79" s="14"/>
    </row>
    <row r="80" spans="1:14" ht="24" customHeight="1" x14ac:dyDescent="0.3">
      <c r="A80" s="174" t="s">
        <v>97</v>
      </c>
      <c r="B80" s="174"/>
      <c r="C80" s="174"/>
      <c r="D80" s="174"/>
      <c r="E80" s="174"/>
      <c r="F80" s="174"/>
      <c r="G80" s="174"/>
      <c r="H80" s="174"/>
      <c r="I80" s="174"/>
      <c r="J80" s="174"/>
      <c r="K80" s="174"/>
      <c r="L80" s="174"/>
      <c r="M80" s="174"/>
      <c r="N80" s="174"/>
    </row>
    <row r="81" spans="1:14" x14ac:dyDescent="0.3">
      <c r="A81" s="15" t="s">
        <v>98</v>
      </c>
      <c r="B81" s="17"/>
      <c r="C81" s="17"/>
      <c r="D81" s="15"/>
      <c r="E81" s="15"/>
      <c r="F81" s="15"/>
      <c r="G81" s="15"/>
      <c r="H81" s="15"/>
      <c r="I81" s="15"/>
      <c r="J81" s="15"/>
      <c r="K81" s="16"/>
      <c r="L81" s="15"/>
      <c r="M81" s="15"/>
      <c r="N81" s="18"/>
    </row>
    <row r="83" spans="1:14" x14ac:dyDescent="0.3">
      <c r="J83" s="2"/>
    </row>
    <row r="84" spans="1:14" ht="24.75" customHeight="1" x14ac:dyDescent="0.3">
      <c r="G84" s="10"/>
      <c r="H84" s="10"/>
      <c r="I84" s="10"/>
      <c r="J84" s="10"/>
    </row>
    <row r="85" spans="1:14" ht="19.5" x14ac:dyDescent="0.3">
      <c r="G85" s="2"/>
      <c r="H85" s="2"/>
      <c r="I85" s="10"/>
      <c r="J85" s="2"/>
      <c r="K85" s="2"/>
      <c r="L85" s="2"/>
    </row>
    <row r="86" spans="1:14" x14ac:dyDescent="0.3">
      <c r="I86" s="16"/>
    </row>
  </sheetData>
  <mergeCells count="133">
    <mergeCell ref="A80:N80"/>
    <mergeCell ref="A41:A42"/>
    <mergeCell ref="I31:I32"/>
    <mergeCell ref="H31:H32"/>
    <mergeCell ref="A67:F67"/>
    <mergeCell ref="A70:F70"/>
    <mergeCell ref="A63:A64"/>
    <mergeCell ref="B63:B64"/>
    <mergeCell ref="C63:C64"/>
    <mergeCell ref="D63:D64"/>
    <mergeCell ref="E63:E64"/>
    <mergeCell ref="F63:F64"/>
    <mergeCell ref="C54:C55"/>
    <mergeCell ref="E54:E55"/>
    <mergeCell ref="N41:N42"/>
    <mergeCell ref="I28:I29"/>
    <mergeCell ref="L28:L29"/>
    <mergeCell ref="A60:A62"/>
    <mergeCell ref="B50:B52"/>
    <mergeCell ref="J28:J29"/>
    <mergeCell ref="K28:K29"/>
    <mergeCell ref="A47:F47"/>
    <mergeCell ref="A59:F59"/>
    <mergeCell ref="G60:G62"/>
    <mergeCell ref="B54:B55"/>
    <mergeCell ref="L41:L42"/>
    <mergeCell ref="K31:K32"/>
    <mergeCell ref="J31:J32"/>
    <mergeCell ref="C50:C52"/>
    <mergeCell ref="D50:D52"/>
    <mergeCell ref="E50:E52"/>
    <mergeCell ref="C41:C42"/>
    <mergeCell ref="F41:F42"/>
    <mergeCell ref="C28:C29"/>
    <mergeCell ref="A39:F39"/>
    <mergeCell ref="A28:A29"/>
    <mergeCell ref="B28:B29"/>
    <mergeCell ref="C18:C19"/>
    <mergeCell ref="F8:F9"/>
    <mergeCell ref="L8:L9"/>
    <mergeCell ref="L12:L13"/>
    <mergeCell ref="K10:K11"/>
    <mergeCell ref="F18:F19"/>
    <mergeCell ref="A24:F24"/>
    <mergeCell ref="H60:H62"/>
    <mergeCell ref="N28:N29"/>
    <mergeCell ref="F28:F29"/>
    <mergeCell ref="I60:I62"/>
    <mergeCell ref="J60:J62"/>
    <mergeCell ref="K60:K62"/>
    <mergeCell ref="L60:L62"/>
    <mergeCell ref="N60:N62"/>
    <mergeCell ref="N50:N51"/>
    <mergeCell ref="N31:N32"/>
    <mergeCell ref="M28:M29"/>
    <mergeCell ref="G28:G29"/>
    <mergeCell ref="H28:H29"/>
    <mergeCell ref="I41:I42"/>
    <mergeCell ref="K41:K42"/>
    <mergeCell ref="J41:J42"/>
    <mergeCell ref="L31:L32"/>
    <mergeCell ref="A18:A19"/>
    <mergeCell ref="H41:H42"/>
    <mergeCell ref="B41:B42"/>
    <mergeCell ref="A31:A32"/>
    <mergeCell ref="B31:B32"/>
    <mergeCell ref="C31:C32"/>
    <mergeCell ref="G31:G32"/>
    <mergeCell ref="G41:G42"/>
    <mergeCell ref="N8:N9"/>
    <mergeCell ref="N12:N13"/>
    <mergeCell ref="N18:N19"/>
    <mergeCell ref="M18:M19"/>
    <mergeCell ref="M8:M9"/>
    <mergeCell ref="M12:M13"/>
    <mergeCell ref="N10:N11"/>
    <mergeCell ref="A8:A9"/>
    <mergeCell ref="C10:C11"/>
    <mergeCell ref="A10:A11"/>
    <mergeCell ref="I12:I13"/>
    <mergeCell ref="C8:C9"/>
    <mergeCell ref="C12:C13"/>
    <mergeCell ref="J10:J11"/>
    <mergeCell ref="L10:L11"/>
    <mergeCell ref="I10:I11"/>
    <mergeCell ref="G4:H4"/>
    <mergeCell ref="G5:H5"/>
    <mergeCell ref="K8:K9"/>
    <mergeCell ref="K12:K13"/>
    <mergeCell ref="B12:B13"/>
    <mergeCell ref="G18:G19"/>
    <mergeCell ref="H18:H19"/>
    <mergeCell ref="I18:I19"/>
    <mergeCell ref="J18:J19"/>
    <mergeCell ref="J8:J9"/>
    <mergeCell ref="H12:H13"/>
    <mergeCell ref="K18:K19"/>
    <mergeCell ref="K5:L5"/>
    <mergeCell ref="K4:L4"/>
    <mergeCell ref="J12:J13"/>
    <mergeCell ref="I8:I9"/>
    <mergeCell ref="L18:L19"/>
    <mergeCell ref="H10:H11"/>
    <mergeCell ref="G10:G11"/>
    <mergeCell ref="F12:F13"/>
    <mergeCell ref="G8:G9"/>
    <mergeCell ref="H8:H9"/>
    <mergeCell ref="G12:G13"/>
    <mergeCell ref="C4:C5"/>
    <mergeCell ref="D4:F4"/>
    <mergeCell ref="B8:B9"/>
    <mergeCell ref="M4:M5"/>
    <mergeCell ref="N4:N5"/>
    <mergeCell ref="B18:B19"/>
    <mergeCell ref="I5:J5"/>
    <mergeCell ref="D5:F5"/>
    <mergeCell ref="A14:A15"/>
    <mergeCell ref="B14:B15"/>
    <mergeCell ref="C14:C15"/>
    <mergeCell ref="G14:G15"/>
    <mergeCell ref="I14:I15"/>
    <mergeCell ref="K14:K15"/>
    <mergeCell ref="N14:N15"/>
    <mergeCell ref="F14:F15"/>
    <mergeCell ref="H14:H15"/>
    <mergeCell ref="J14:J15"/>
    <mergeCell ref="L14:L15"/>
    <mergeCell ref="I4:J4"/>
    <mergeCell ref="A7:F7"/>
    <mergeCell ref="A4:A5"/>
    <mergeCell ref="B4:B5"/>
    <mergeCell ref="A12:A13"/>
    <mergeCell ref="B10:B11"/>
  </mergeCells>
  <printOptions horizontalCentered="1"/>
  <pageMargins left="3.9370078740157501E-2" right="3.9370078740157501E-2" top="3.9370078740157501E-2" bottom="3.9370078740157501E-2" header="0" footer="0"/>
  <pageSetup paperSize="9" scale="36" fitToHeight="5" orientation="landscape" r:id="rId1"/>
  <headerFooter alignWithMargins="0"/>
  <rowBreaks count="5" manualBreakCount="5">
    <brk id="23" max="13" man="1"/>
    <brk id="38" max="13" man="1"/>
    <brk id="46" max="16383" man="1"/>
    <brk id="58" max="13" man="1"/>
    <brk id="6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vt:lpstr>
      <vt:lpstr>'For Website'!Print_Area</vt:lpstr>
      <vt:lpstr>'For Website'!Print_Titles</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Anna Rusieshvili</cp:lastModifiedBy>
  <cp:lastPrinted>2017-10-19T05:17:04Z</cp:lastPrinted>
  <dcterms:created xsi:type="dcterms:W3CDTF">2011-04-14T08:42:21Z</dcterms:created>
  <dcterms:modified xsi:type="dcterms:W3CDTF">2017-12-20T11:40:29Z</dcterms:modified>
</cp:coreProperties>
</file>