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nna.rusieshvili\Desktop\WEB info\november\"/>
    </mc:Choice>
  </mc:AlternateContent>
  <bookViews>
    <workbookView xWindow="11130" yWindow="2760" windowWidth="11190" windowHeight="9420" tabRatio="200"/>
  </bookViews>
  <sheets>
    <sheet name="For Website" sheetId="12" r:id="rId1"/>
  </sheets>
  <definedNames>
    <definedName name="_xlnm.Print_Area" localSheetId="0">'For Website'!$A$1:$N$92</definedName>
    <definedName name="_xlnm.Print_Titles" localSheetId="0">'For Website'!$A:$A,'For Website'!$4:$6</definedName>
  </definedNames>
  <calcPr calcId="162913"/>
</workbook>
</file>

<file path=xl/calcChain.xml><?xml version="1.0" encoding="utf-8"?>
<calcChain xmlns="http://schemas.openxmlformats.org/spreadsheetml/2006/main">
  <c r="K85" i="12" l="1"/>
  <c r="K87" i="12" l="1"/>
  <c r="I51" i="12" l="1"/>
  <c r="K55" i="12" l="1"/>
  <c r="K40" i="12" l="1"/>
  <c r="K35" i="12"/>
  <c r="K34" i="12"/>
  <c r="K33" i="12"/>
  <c r="K32" i="12"/>
  <c r="K31" i="12"/>
  <c r="K29" i="12"/>
  <c r="L17" i="12"/>
  <c r="K17" i="12"/>
  <c r="K16" i="12"/>
  <c r="K14" i="12"/>
  <c r="K12" i="12"/>
  <c r="K10" i="12"/>
  <c r="K8" i="12"/>
  <c r="L72" i="12" l="1"/>
  <c r="J60" i="12" l="1"/>
  <c r="I60" i="12"/>
  <c r="H60" i="12"/>
  <c r="G60" i="12"/>
  <c r="K61" i="12" l="1"/>
  <c r="K18" i="12" l="1"/>
  <c r="K63" i="12" l="1"/>
  <c r="K66" i="12"/>
  <c r="K88" i="12"/>
  <c r="L83" i="12" l="1"/>
  <c r="K76" i="12" l="1"/>
  <c r="K75" i="12"/>
  <c r="H82" i="12" l="1"/>
  <c r="G82" i="12"/>
  <c r="K86" i="12"/>
  <c r="L82" i="12"/>
  <c r="I82" i="12"/>
  <c r="J82" i="12"/>
  <c r="L81" i="12"/>
  <c r="L80" i="12"/>
  <c r="L78" i="12"/>
  <c r="K82" i="12" l="1"/>
  <c r="K72" i="12" l="1"/>
  <c r="G71" i="12" l="1"/>
  <c r="G51" i="12"/>
  <c r="K58" i="12" l="1"/>
  <c r="K57" i="12"/>
  <c r="L59" i="12"/>
  <c r="L58" i="12"/>
  <c r="L57" i="12"/>
  <c r="L56" i="12"/>
  <c r="K56" i="12"/>
  <c r="K53" i="12"/>
  <c r="L52" i="12"/>
  <c r="K52" i="12"/>
  <c r="K51" i="12" l="1"/>
  <c r="L51" i="12"/>
  <c r="K49" i="12"/>
  <c r="K48" i="12"/>
  <c r="L47" i="12"/>
  <c r="K47" i="12"/>
  <c r="K46" i="12"/>
  <c r="K45" i="12"/>
  <c r="K43" i="12"/>
  <c r="K42" i="12"/>
  <c r="L39" i="12"/>
  <c r="K39" i="12"/>
  <c r="K38" i="12"/>
  <c r="L37" i="12"/>
  <c r="K37" i="12"/>
  <c r="K67" i="12"/>
  <c r="K65" i="12"/>
  <c r="K64" i="12"/>
  <c r="K62" i="12"/>
  <c r="L62" i="12"/>
  <c r="L60" i="12" s="1"/>
  <c r="G7" i="12"/>
  <c r="K60" i="12" l="1"/>
  <c r="J71" i="12"/>
  <c r="H71" i="12" l="1"/>
  <c r="I71" i="12"/>
  <c r="I36" i="12" l="1"/>
  <c r="F56" i="12" l="1"/>
  <c r="E56" i="12"/>
  <c r="E40" i="12" l="1"/>
  <c r="J36" i="12" l="1"/>
  <c r="H36" i="12"/>
  <c r="G36" i="12"/>
  <c r="K71" i="12" l="1"/>
  <c r="L71" i="12" l="1"/>
  <c r="J51" i="12" l="1"/>
  <c r="H51" i="12"/>
  <c r="E54" i="12"/>
  <c r="L36" i="12" l="1"/>
  <c r="K36" i="12"/>
  <c r="L7" i="12"/>
  <c r="J7" i="12"/>
  <c r="I7" i="12"/>
  <c r="H7" i="12"/>
  <c r="K7" i="12" l="1"/>
  <c r="H79" i="12"/>
  <c r="H89" i="12" s="1"/>
  <c r="I79" i="12"/>
  <c r="I89" i="12" s="1"/>
  <c r="J79" i="12"/>
  <c r="J89" i="12" s="1"/>
  <c r="K79" i="12"/>
  <c r="G79" i="12"/>
  <c r="G89" i="12" s="1"/>
  <c r="K89" i="12" l="1"/>
  <c r="L79" i="12"/>
  <c r="L89" i="12" s="1"/>
  <c r="E53" i="12" l="1"/>
  <c r="E41" i="12"/>
  <c r="E62" i="12" l="1"/>
  <c r="F83" i="12"/>
</calcChain>
</file>

<file path=xl/sharedStrings.xml><?xml version="1.0" encoding="utf-8"?>
<sst xmlns="http://schemas.openxmlformats.org/spreadsheetml/2006/main" count="249" uniqueCount="177">
  <si>
    <t>განმახორციელებელი</t>
  </si>
  <si>
    <t>შიდასახელმწიფოებრივი და ადგილობრივი გზების პროექტი II (WB)</t>
  </si>
  <si>
    <t>რეგიონალური განვითარების პროექტი I ნაწილი (კახეთი) (WB)</t>
  </si>
  <si>
    <t>რეგიონალური განვითარების პროექტი II ნაწილი (იმერეთი) (WB)</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</si>
  <si>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</si>
  <si>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</si>
  <si>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აჭარის მყარი ნარჩენების პროექტი (EBRD)</t>
  </si>
  <si>
    <t>საქართველოს გაერთიანებული წყალმომარაგების კომპანია</t>
  </si>
  <si>
    <t>ბათუმის მერია</t>
  </si>
  <si>
    <t>შპს ენგურჰესი</t>
  </si>
  <si>
    <t>პროექტი</t>
  </si>
  <si>
    <t>ენერგეტიკა</t>
  </si>
  <si>
    <t>ურბანული და მუნიციპალური ინფრასტრუქტურა</t>
  </si>
  <si>
    <t>საგზაო ინფრასტრუქტურა</t>
  </si>
  <si>
    <t>MCA-საქართველო</t>
  </si>
  <si>
    <t xml:space="preserve">წყლის ინფრასტრუქტურა </t>
  </si>
  <si>
    <t>დაცული ტერიტორიების განვითარება (CNF)</t>
  </si>
  <si>
    <t xml:space="preserve">სოფლის მეურნეობა </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</si>
  <si>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</si>
  <si>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</si>
  <si>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</si>
  <si>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</si>
  <si>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</si>
  <si>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ქობულეთის წყალარინების რეაბილიტაცია (EBRD, ORET)</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</si>
  <si>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</si>
  <si>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</si>
  <si>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</si>
  <si>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</si>
  <si>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</si>
  <si>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</si>
  <si>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</si>
  <si>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</si>
  <si>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</si>
  <si>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</si>
  <si>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</si>
  <si>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</si>
  <si>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</si>
  <si>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</si>
  <si>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</si>
  <si>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</si>
  <si>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</si>
  <si>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</si>
  <si>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</si>
  <si>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</si>
  <si>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</si>
  <si>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</si>
  <si>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</si>
  <si>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</si>
  <si>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ათასწლეულის გამოწვევა საქართველოს - მეორე კომპაქტი (MCC)</t>
  </si>
  <si>
    <t xml:space="preserve"> სულ ათვისებული თანხა (საკასო) **</t>
  </si>
  <si>
    <t>რეგიონალური და მუნიციპალური ინფრასტრუქტურის განვითარების პროექტი II (WB)</t>
  </si>
  <si>
    <t>ჭიათურის საბაგირო გზების რეკონსტრუქცია-რეაბილიტაციის პროექტი (საფრანგეთი)</t>
  </si>
  <si>
    <t>სოფლის მეურნეობის მოდერნიზაციის, ბაზარზე წვდომისა და მდგრადობის პროექტი (GEF, IFAD)</t>
  </si>
  <si>
    <t>ზემო სამგორის სარწყავი სისტემის რეაბილიტაცია (ORIO)</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</si>
  <si>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</si>
  <si>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</si>
  <si>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</si>
  <si>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</si>
  <si>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ქუთაისის მყარი ნარჩენების პროექტი (KfW,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</si>
  <si>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</si>
  <si>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</si>
  <si>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</si>
  <si>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</si>
  <si>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</si>
  <si>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</si>
  <si>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</si>
  <si>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</si>
  <si>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</si>
  <si>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საქართველოს მუნიციპალური ინფრასტრუქტურის განახლების პროექტი (EIB)</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</si>
  <si>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</si>
  <si>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</si>
  <si>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</si>
  <si>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აგროკრედიტი (EIB)</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</si>
  <si>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</si>
  <si>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</si>
  <si>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</si>
  <si>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ჩრდილოეთის რგოლი ეგხ (I ფაზა) (EBRD, KfW)</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</si>
  <si>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</si>
  <si>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</si>
  <si>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</si>
  <si>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ჩამოყალიბების პროექტი (Unicredit Bank)</t>
  </si>
  <si>
    <t>ქ. ბათუმის ახალი შემოვლითი გზა (ADB, AIIB)</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</si>
  <si>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</si>
  <si>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</si>
  <si>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
 (დაგეგმილი)</t>
  </si>
  <si>
    <t>საქართველოში მყარი ნარჩენების მართვის პროექტი (EBRD)</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</si>
  <si>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(მიმდინარეობს);
 - ბათუმში სანიაღვრე სისტემის ნაწილის რეაბილიტაცია (მიმდინარეობს);
 - ბათუმში წყლის მრიცხველების დამონტაჟება (სამუშაოები მიმდინარეობს).</t>
  </si>
  <si>
    <t xml:space="preserve"> წყლის ინფრასტრუქტურის განახლების პროექტი II (EIB, EU)</t>
  </si>
  <si>
    <t>500-220 კვ ქ/ს-ის "ჯვარი" და შესაბამისი ელექტროგადამცემი ხაზების მშენებლობა (EBRD, KfW, EU)</t>
  </si>
  <si>
    <t xml:space="preserve"> - ახალი 500/220 კვ ქვესადგურის მშენებლობა ჯვარში (მიმდინარეობს);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(მიმდინარეობს)</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</si>
  <si>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</si>
  <si>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</si>
  <si>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</si>
  <si>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</si>
  <si>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 xml:space="preserve"> - წყალტუბოში ინფრასტრუქტურის რეაბილიტაცია;
 - იმერეთის მასშტაბით კულტურული მემკვიდრეობის ძეგლების კეთილმოწყობა (დამხმარე ინფრასტრუქტურა)
(მიმდინარეობს სამშენებლო სამუშაოები)</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</si>
  <si>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 თბილისში 2015 წელს წყალდიდობის შედეგად დაზიანებული ინფრასტრუქტურის რეაბილიტაცია
(მიმდინარეობს სამშენებლო სამუშაოები)</t>
  </si>
  <si>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</si>
  <si>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 xml:space="preserve"> - აჭარაში (ქობულეთში, სოფელ ცეცხლაურთან) თანამედროვე ტიპის ნაგავსაყრელის მშენებლობა (მიმდინარეობს პროექტის მოსამზადებელი სამუშაოები);
 - ბათუმის არსებული ნაგავსაყრელის დახურვა (დახურვა მოხდება ახალი ნაგავსაყრელის ამოქმედების შემდეგ)</t>
  </si>
  <si>
    <t>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 
 - საბაგირო N1 ცენტრი - სანატორიუმი (მიმდინარეობს სამშენებლო სამუშაოები);
 - საბაგირო N2 ცენტრი - ლეჟუბანი (მიმდინარეობს სამშენებლო სამუშაოები);
 - საბაგირო N3 ცენტრი - ნაგუთი (მიმდინარეობს სამშენებლო სამუშაოები);
 - საბაგირო N4 ცენტრი - მუხაძე (მიმდინარეობს სამშენებლო სამუშაოები)</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</si>
  <si>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</si>
  <si>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ქვემო ქართლის რეგიონში (მარნეული) ახალი ნაგავსაყრელის მშენებლობა (მიმდინარეობს მოსამზადებელი სამუშაოები)</t>
  </si>
  <si>
    <t xml:space="preserve">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t>
  </si>
  <si>
    <t>ბათუმში წყალმომარაგების და წყალარინების სისტემის რეაბილიტაცია და გაფართოება (მიმდინარეობს)</t>
  </si>
  <si>
    <t>საქართველოს სხვადასხვა რეგიონში წყლის მიწოდების გაუმჯობესება (მიმდინარეობს)</t>
  </si>
  <si>
    <t>250 მგვარ სიმძლავრის რეგულირებადი რეაქტორის მშენებლობა - ,,ქ/ს ზესტაფონი 500-ში“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</si>
  <si>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</si>
  <si>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ელექტროენერგიის სექტორის სტრატეგიული გარემოსდაცვითი ზემოქმედების შეფასება (მიმდინარებს)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</si>
  <si>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</si>
  <si>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რამდენიმე საპილოტე ადგილში (მათ შორის შუახევი, ვანი, მარტვილი, მესტია, დედოფლისწყარო, გურჯაანი, გორი, მცხეთა, თიანეთი, თეთრიწყარო) მიწის რეგისტრაციასთან დაკავშირებული ღონისძიებები (მიმდინარეობს)</t>
  </si>
  <si>
    <t>საქართველოში მემცენარეობის (მეთხილეობის ჩათვლით) და მეღვინეობის შერჩეულ ღირებულებათა ჯაჭვის განვითარება (დაგეგმილი)</t>
  </si>
  <si>
    <t>ზემო სამგორის ირიგაციისა და დრენაჟის სისტემის რეაბილიტაცია. პროექტის მოსამზადებელი ეტაპი (მიმდინარეობს პროექტის მომზადებისთვის საჭირო კვლევებისა და ტექნიკური, სოციალური, გარემოსდაცვითი და ინსტიტუციონალური ასპექტების ანალიზის მომზადება)</t>
  </si>
  <si>
    <t>საქართველოს შეიარაღებული ძალების შესაძლებლობების გაძლიერება (მიმდინარეობს)</t>
  </si>
  <si>
    <r>
      <t>ხელშეკრულების ხელმოწერის თარიღი</t>
    </r>
    <r>
      <rPr>
        <b/>
        <sz val="14"/>
        <color theme="1"/>
        <rFont val="Calibri"/>
        <family val="2"/>
      </rPr>
      <t>*</t>
    </r>
  </si>
  <si>
    <t>ნაგავმზიდი მანქანებისა და მყარი ნარჩენების კონტეინერების შეძენა (მიმდინარეობს,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</si>
  <si>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ჩამოყალიბება (მიმდინარეობს)</t>
  </si>
  <si>
    <t>ქ. ქობულეთში კანალიზაციის გამწმენდი ნაგებობის მშენებლობა (მიმდინარეობს)</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</si>
  <si>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</si>
  <si>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წყალტუბოსა და თელავში საკანალიზაციო სისტემების გამწმენდი ნაგებობების მშენებლობა (მიმდინარეობს სამშენებლო სამუშაოები).</t>
  </si>
  <si>
    <t xml:space="preserve"> - ყაზბეგის ეროვნული პარკის შექმნა;
 - კინტრიშის დაცული ტერიტორის შექმნა;
 - ალგეთის ეროვნული პარკის შექმნა;
 - ფშავ-ხევსურეთის დაცული ტერიტორიის შექმნა.
(მიმდინარეობს ტურიზმის სტრატეგიების, სამოქმედო და საინვესტიციო გეგმების შემუშავება; დაიწყო მენეჯმენტის გეგმის შემუშავება ალგეთის ეროვნული პარკისათვის; გამოცხადდა ტენდერი ფშავ-ხევსურეთის დაცული ტერიტორიების დემარკაციაზე; დაიწყო ალგეთის ეროვნული პარკის ადმინისტრაციის და ვიზიტორთა შენობის მშენებლობა; დაიწყო ყაზბეგის ეროვნული პარკის ადმინისტრაციის და ვიზიტორთა შენობის მშენებლობა; მიმდინარეობს პრომეთეს მღვიმის საგამოფენო დარბაზის მოწყობა; მიმდინარეობს დუშეთის მუნიციპალიტეტში დაცული ლანდშაფტის შექმნისათვის კანონპროექტის შემუშავება)</t>
  </si>
  <si>
    <t>02.04.2019</t>
  </si>
  <si>
    <t>შიდასახელმწიფოებრივი მნიშვნელობის ძირულა-ხარაგაული-მოლითი-ფონა-ჩუმათელეთის საავტომობილო გზის ჩუმათელეთი-ხარაგაულის მონაკვეთის რეაბილიტაცია-რეკონსტრუქცია (ADB)</t>
  </si>
  <si>
    <t>19,06,2017</t>
  </si>
  <si>
    <t>31,08,2021</t>
  </si>
  <si>
    <t>თბილისი-სენაკი-ლესელიძის საავტომობილო გზის ხევი უბისას მონაკვეთის რეკონსტრუქცია - მშენებლობა (ADB)</t>
  </si>
  <si>
    <t>თბილისი-სენაკი-ლესელიძის საავტომობილო გზის უბისა ძირულას მონაკვეთის რეკონსტრუქცია-მშენებლობა (EIB)</t>
  </si>
  <si>
    <t>თბილისი-სენაკი-ლესელიძის საავტომობილო გზის ძირულა არგვეთას მონაკვეთის რეკონსტრუქცია-მშენებლობა (JICA)</t>
  </si>
  <si>
    <t>სენაკი-ფოთი-სარფის საავტომობილო გზის კმ48-კმ64 გრიგოლეთი-ჩოლოქის მონაკვეთის მშენებლობა (EIB)</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</si>
  <si>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(EIB)</t>
  </si>
  <si>
    <t>ალგეთი-სადახლოს საავტომობილო გზის მშენებლობა-მოდერნიზაცია (EIB)</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</si>
  <si>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(ADB)</t>
  </si>
  <si>
    <t>მდინარე რიონზე ფოთის ხიდის მშენებლობა (EIB)</t>
  </si>
  <si>
    <t>თბილისი-ბაკურციხე-ლაგოდეხის საავტომობილო გზის კმ20-კმ50 ლოჭინი-საგარეჯოს მონაკვეთის მშენებლობა (EIB)</t>
  </si>
  <si>
    <t>ქუთაისის წყალარინების პროექტი (EIB, EPTATF)</t>
  </si>
  <si>
    <t>15,10,2015</t>
  </si>
  <si>
    <t>15,10,2020</t>
  </si>
  <si>
    <t>2018 წლის ბიუჯეტით დამტკიცებული თანხა</t>
  </si>
  <si>
    <t>2018 წლის განმავლობაში ათვისებული თანხა (საკასო) **</t>
  </si>
  <si>
    <t>ალგეთი-სადახლოს საავტომობილო გზის მშენებლობა-მოდერნიზაცია   (დაგეგმილი)</t>
  </si>
  <si>
    <t>მდინარე რიონზე ფოთის ხიდის მშენებლობა    (დაგეგმილი)</t>
  </si>
  <si>
    <t>თბილისი-ბაკურციხე-ლაგოდეხის საავტომობილო გზის კმ20-კმ50 ლოჭინი-საგარეჯოს მონაკვეთის მშენებლობა   (დაგეგმილი)</t>
  </si>
  <si>
    <t>თბილისი-სენაკი-ლესელიძის საავტომობილო გზის ჩუმათელეთი-ხევის მონაკვეთის რეკონსტრუქცია-მშენებლობა (EIB, WB)</t>
  </si>
  <si>
    <t>ქალაქ ქუთაისის წყალარინების სისტემის და გამწმენდი ნაგებობის მშენებლობა (მიმდინარეობს სარეაბილიტაციო სამუშაოების  პროექტირებისა  და ზედამხედველობის მომსახურების  შესყიდვასთან დაკავშირებული პროცედურები)</t>
  </si>
  <si>
    <t>31,12,2021</t>
  </si>
  <si>
    <t xml:space="preserve"> ენგურის ჰიდროელექტროსადგურების რეაბილიტაციის პროექტი  -  კლიმატური პიროგებისადმი მდგრადობის გაუმჯობესება (EBRD , EU)</t>
  </si>
  <si>
    <t xml:space="preserve"> - ზემო ოსიაური - ჩუმათელეთის მონაკვეთზე (დაახლოებით 14.1 კმ) ავტომაგისტრალის მშენებლობა (ლოტი I და ლოტი II) (მიმდინარეობს სამშენებლო სამუშაოები);
 - საავტომობილო გზების დეპარტამენტის ინსტიტუციონალური განვითარება (დაგეგმილი);
 -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ტექნიკურ-ეკონომიკური კვლევის მომზადებასთან დაკავშირებით (დასრულდა);
 - საგზაო ქსელის განვითარების მიზნით მომავალი საინვესტიციო პროექტების დეტალური პროექტებისა და ტექნიკურ-ეკონომიკური დასაბუთების მომზადება (დაგეგმილი).</t>
  </si>
  <si>
    <t>-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7 კილომეტრიან მონაკვეთზე; დარჩენილ 5კმ-ზე მოძრაობა გაიხსნება მას შემდეგ, რაც დასრულდება მონაკვეთის - ზემო ოსიაური-ჩუმათელეთის მშენებლობა);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t>
  </si>
  <si>
    <t xml:space="preserve"> - დასრულდეს ენგურისჰიდროელექტროსადგურის კასკადის რეაბილიტაცია 
 რათა გაიზარდოს სუფთა განახლებადი ენერგიის ხელმისაწვდომდბა  საქართველოში;
  -  ხელი შეუწყობს  ენგურის ჰიდროელექტროსადგურების რეაბილიტაციის  შესრულებას, მათ შორის საგანგება რემონტის  განხორციელებას  მიწისქვეშა გვირაბსა თუ მილსადენზე რომელიც გაზრდის მთლიან წარმოებას;
 - უზრუნველყოფს კლიმატური პიროგებისადმი მდგრადობის გაუმჯობესებას.</t>
  </si>
  <si>
    <t xml:space="preserve">ავტობუსების (დიზელის და ელექტრო) შეძენა (დაგეგმილი). </t>
  </si>
  <si>
    <t xml:space="preserve"> - საქართველოს სხვადასხვა ქალაქსა და სოფელში ინოვაციური ჰაბებისა და ცენტრების ქსელის განვითარება (მიმდინარეობს მოსამზადებელი სამუშაოები ინოვაციური ჰაბებისა და ცენტრების გახსნის მიზნით, კერძოდ, ამ ეტაპზე შერჩეულია ინოვაციური ცენტრებისა და ჰაბების განლაგების ადგილები შემდეგ ქალაქებში: ინოვაციური ჰაბები - თელავი, ქუთაისი, გორი; ინოვაციური ცენტრები - ახმეტა, ქარელი, რუხი, მესტია);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(შემუშავებულია ფართომასშტაბიანი ინტერნეტ მომსახურების პროგრამის სახელმძღვანელო);
 - ინდივიდუალური პირებისა და ფირმების ინოვაციური შესაძლებლობების განვითარება (შემუშავდა სამოქმედო გეგმა ქვეყნის მოსახლეობისთვის ინოვაციების სერვისების მიწოდების კუთხით; დაიწყო წილობრივი გრანტების პროგრამა ახალწამოწყებული ბიზნესისთვის(startups)).</t>
  </si>
  <si>
    <t>04.12.2017</t>
  </si>
  <si>
    <t>31.12.2023</t>
  </si>
  <si>
    <t xml:space="preserve"> - ზესტაფონი - ქუთაისის ახალი შემოვლითი გზის მშენებლობა (15.2 კმ) (დასრულდა; 14 კმ.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</si>
  <si>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 xml:space="preserve"> - ახალი ნაგავსაყრელის (ქუთაისის შესასვლელი, სოფელი ჭოგნარი) მოწყობა (მიმდინარეობს მოსამზადებელი სამუშაოები);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</si>
  <si>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r>
      <t xml:space="preserve"> - ზუგდიდი - მესტიის გზის რეაბილიტაცია (დასრულდა);
 - ანაკლიის ნაპირდაცვა- I  ფაზა (დასრულდა);
- თბილისში მეტროსადგური "უნივერსიტეტი" მშენებლობა (დასრულდა). 
 - თბილისი - რუსთავის ავტომაგისტრალის მშენებლობა I-II  მონაკვეთი (დასრულდა);
- თბილისი - რუსთავის ავტომაგისტრალის მშენებლობა II  მონაკვეთი (მიმდინარეობს სამშენებლო სამუშაოები)</t>
    </r>
    <r>
      <rPr>
        <b/>
        <sz val="12"/>
        <rFont val="Franklin Gothic Book"/>
        <family val="2"/>
        <scheme val="minor"/>
      </rPr>
      <t>;
 -</t>
    </r>
    <r>
      <rPr>
        <sz val="12"/>
        <rFont val="Franklin Gothic Book"/>
        <family val="2"/>
        <scheme val="minor"/>
      </rPr>
      <t xml:space="preserve"> ანაკლიის ნაპირდაცვა-  II ფაზა (დასრულდა);
 - ქალაქ ბათუმში ნაპირდაცვის სამუშაოები (მიმდინარეობს სამშენებლო სამუშაოები);
- თბილისის მეტროს რეაბილიტაცია  (მეტროს ელექტროგაყვანილობის და სავენტილაციო სისტემის გამოცვლა) (დაგეგმილი).</t>
    </r>
  </si>
  <si>
    <t xml:space="preserve"> - თელავში, ყვარელში და ახმეტაში ინფრასტრუქტურის რეაბილიტაცია (მუნიციპალური და კომუნალური ინფრასტრუქტურა, ისტორიული უბნების რეაბილიტაცია) (ძირითადი სამუშაოები დასრულებულია);
 - კახეთის მასშტაბით კულტურული მემკვიდრეობის ძეგლების კეთილმოწყობა (ძირითადი სამუშაოები დასრულებულია);
 - კერძო სექტორის ხელშეწყობა ტურიზმის და სოფლის მეურნეობის სექტორში (დასრულდა)</t>
  </si>
  <si>
    <t xml:space="preserve">თბილისის დაახლოებით 25 საჯარო სკოლის რეკონსტრუქცია-გამაგრება და აღნიშნულ სკოლებში ენერგო ეფექტურობის გაზრდა (მიმდინარეობს მოსამზადებელი სამუშაოები).
</t>
  </si>
  <si>
    <t>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(ხელშეკრულება გაფორმდა  მშენებელ-კონტრაქტორთან, ასევე საზედამხედველო კომპანიასთან).</t>
  </si>
  <si>
    <t>სახელმწიფო ბიუჯეტში ასახული დონორების მხარდაჭერით დაფინანსებული პროექტები</t>
  </si>
  <si>
    <t>ქობულეთის ახალი შემოვლითი გზის მშენებლობა (დაახლოებით 32 კმ სიგრძე) (პირველი მონაკვეთი (12.4 კმ + 1.3 კმ) გახსნილია, სამშენებლო სამუშაოები დასრულდა მეორე მონაკვეთზე (18 კმ), მოძრაობა გახსნილია).</t>
  </si>
  <si>
    <t>თბილისი-სენაკი-ლესელიძის საავტომობილო გზის შორაპანი-არგვეთას მონაკვეთის რეკონსტრუქცია-მშენებლობა  (გამოცხადდა ტენდერი სამშენებლო სამუშაოების და საზედამხედველო მომსახურების შესასყიდად).</t>
  </si>
  <si>
    <t>თბილისი-წითელი ხიდის (აზერბაიჯანის რესპუბლიკის საზღვარი) საავტომობილო გზის კმ22-კმ57 რუსთავი-წითელი ხიდის მონაკვეთის მშენებლობა   (დაგეგმილი).</t>
  </si>
  <si>
    <t>მცხეთა-სტეფანწმინდა-ლარსის საავტომობილო გზის ქვეშეთი-კობის მონაკვეთზე საავტომობილო გზის და გვირაბის მშენებლობა  (მიმდინარეობს სატენდერო პროცედურები მშენებელ-კონტრაქტორის შესარჩევად).</t>
  </si>
  <si>
    <t xml:space="preserve"> - ბათუმის შემოვლითი, 14.3 კილომეტრიანი, ორ ზოლიანი გზის მშენებლობა  (მიმდინარეობს  სამშენებლო სამუშაოები);
 - დაახლოებით 200 კილომეტრი სიგრძის საერთაშორისო და ადგილობრივი გზების მოვლა-შენახვა (დაგეგმილი).</t>
  </si>
  <si>
    <t>საქართველოს სხვადასხვა რეგიონში (დაახლოებით 225 კმ საერთო სიგრძის) შიდასახელმწიფოებრივი და ადგილობრივი გზების რეაბილიტაცია დასრულდა.</t>
  </si>
  <si>
    <t xml:space="preserve"> - გურიის რეგიონში შერჩეული შიდასახელმწიფოებრივი გზების მონაკვეთების რეაბილიტაცია, პერიოდული და მიმდინარე მოვლა შენახვა, ტექნიკური სამუშაოები (დაგეგმილი);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რეაბილიტაცია  პროექტირება-მშენებლობის პირობებით (მიმდინარეობს საპროექტო და სარეაბილიტაციო  სამუშაოები);
 - სამშენებლო კონტრაქტების მონიტორინგი და ზედამხედველობა (4 საგზაო მონაკვეთის სარეაბილიტაციო სამუშაოების ზედამხედველობა - მიმდინარეობს).</t>
  </si>
  <si>
    <r>
      <rPr>
        <b/>
        <sz val="11"/>
        <rFont val="Franklin Gothic Book"/>
        <family val="2"/>
        <scheme val="minor"/>
      </rPr>
      <t>საქართველოს რეგიონებში საჯარო სკოლების რემონტი/რეაბილიტაცია</t>
    </r>
    <r>
      <rPr>
        <sz val="11"/>
        <rFont val="Franklin Gothic Book"/>
        <family val="2"/>
        <scheme val="minor"/>
      </rPr>
      <t xml:space="preserve">
- 58 საჯარო სკოლის სრული რეაბილიტაცია და საბუნებისმეტყველო ლაბორატორიებით აღჭურვა  შიდა და ქვემო ქართლის, სამცხე-ჯავახეთის, რაჭა-ლეჩხუმისა, კახეთის და ქვემო სვანეთის რეგიონებში (დასრულდა); 
- მიმდინარეობს 33 საჯარო სკოლის სრული რეაბილიტაცია. აქედან, 30 სკოლა მდებარეობს დასავლეთ საქართველოში, ხოლო 3 - კახეთში.
</t>
    </r>
    <r>
      <rPr>
        <b/>
        <sz val="11"/>
        <rFont val="Franklin Gothic Book"/>
        <family val="2"/>
        <scheme val="minor"/>
      </rPr>
      <t>მასწავლებელთა კვალიფიკაციის ამაღლება</t>
    </r>
    <r>
      <rPr>
        <sz val="11"/>
        <rFont val="Franklin Gothic Book"/>
        <family val="2"/>
        <scheme val="minor"/>
      </rPr>
      <t xml:space="preserve">
- ზოგადპროფესიული კურსის ფარგლებში გადამზადდა 14,846 მასწავლებელი, მათ შორის 1331 არაქართულენოვანი მასწავლებელი.
- საგნობრივი მეთოდიკის კურსის ფარგლებში გადამზადდა 11,958 მასწავლებელი, მათ შორის 1054 არაქართულენოვანი მასწავლებელი.
</t>
    </r>
    <r>
      <rPr>
        <b/>
        <sz val="11"/>
        <rFont val="Franklin Gothic Book"/>
        <family val="2"/>
        <scheme val="minor"/>
      </rPr>
      <t>სკოლის დირექტორთა კვალიფიკაციის ამაღლება</t>
    </r>
    <r>
      <rPr>
        <sz val="11"/>
        <rFont val="Franklin Gothic Book"/>
        <family val="2"/>
        <scheme val="minor"/>
      </rPr>
      <t xml:space="preserve">
- დასრულდა პროფესიული განვითარების კურსი „ლიდერობის აკადემია 1“. კურსი განკუთვნილია საჯარო სკოლის დირექტორებისათვის. კურსი 1820-მა დირექტორმა, მათ შორის 151 არაქართულენოვანი სკოლის დირექტორმა გაიარა წარმატებით.
- მიმდინარეობს პროფესიული განვითარების კურსი „ლიდერობის აკადემია 2“. კურსი განკუთვნილია დირექტორებისა და პროექტის ფასილიტატორებისთვის.
- მიმდინარეობს კურსი "ლიდერობის აკადემია 3". კურსი განკუთვნილია საჯარო სკოლის დირექტორებისა და პროექტის ფასილიტატორებისათვის. 
</t>
    </r>
    <r>
      <rPr>
        <b/>
        <sz val="11"/>
        <rFont val="Franklin Gothic Book"/>
        <family val="2"/>
        <scheme val="minor"/>
      </rPr>
      <t>უმაღლესი განათლების ხელშეწყობა ტექნიკურ დარგებში (მიმდინარეობს)</t>
    </r>
    <r>
      <rPr>
        <sz val="11"/>
        <rFont val="Franklin Gothic Book"/>
        <family val="2"/>
        <scheme val="minor"/>
      </rPr>
      <t xml:space="preserve">
განხორციელდა სან დიეგოს სახელმწიფო უნივერსიტეტის (SDSU) საქართველოს პარტნიორი უნივერსიტეტების ლაბორატორიების, აუდიტორიების სრული რეაბილიტაცია, აღჭურვა და ახალი ლაბორატორიების მოწყობა.</t>
    </r>
  </si>
  <si>
    <t>ბათუმი - ახალციხის არსებული ორზოლიანი გზის დაახლოებით 29 კმ-იან ხულო-გოდერძის მონაკვეთის რეაბილიტაცია - რეკონსტრუქცია (გაიცა სამუშაოების დაწყების ინსტრუქცია).</t>
  </si>
  <si>
    <t>2018  წლის 30 ნოემბრის მდგომარეობით (ათას ერთეულში)</t>
  </si>
  <si>
    <t xml:space="preserve">
მესტიაში წყალმომარაგების სათავე ნაგებობის მშენებლობა (დასრულდა), წყალმომარაგებისა და კანალიზაციის ქსელების მშენებლობა - რეაბილიტაცია (სამშენებლო სამუშაოები დასრულდა); წყლის გამწმენდი ნაგებობის, ახალი რეზერვუარების მშენებლობა და არსებული რეზერვუარის რეაბილიტაცია (მიმდინარეობს პროექტირება-მშენებლობა);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და კანალიზაციის გამწმენდი ნაგებობის მშენებლობა (მიმდინარეობს შენახვის პროცედურები);
- ქუთაისში წყალმომარაგების სისტემების (რეზერვუარები, სატუმბი სადგურები, წყლის გამანაწილებელი ქსელი) მშენებლობა- რეაბილიტაცია (მიმდინარეობს სამშენებლო სამუშაოები);
- ფოთში წყალმომარაგების სისტემების მშენებლობა - რეაბილიტაცია (დასრულებულია); 
- ფოთში წყალარინების სისტემის რეაბილიტაცია (მიმდინარეობს სამშენებლო სამუშაოები); 
- ფოთში წყალარინების გამწმენდი ნაგებობის მშენებლობა (მიმდინარეობს საპროექტო სამუშაოების შეთანხმება);
- ურეკში წყალმომარაგებისა და კანალიზაციის სისტემების მშენებლობა (მიმდინარეობს სამშენებლო სამუშაოები);
- ურეკში კანალიზაციის გამწმენდი ნაგებობის მშენებლობა (მიმდინარეობს შენახვის პროცედურები);
- ზუგდიდში წყალმომარაგების სისტემის მშენებლობა-რეაბილიტაცია (მიმდინარეობს სამშენებლო სამუშაოები);
- ზუგდიდში კანალიზაციის სისტემის მშენებლობა-რეაბილიტაცია (მიმდინარეობს სამშენებლო სამუშაოები);
- ზუგდიდში კანალიზაციის გამწმენდი ნაგებობის მშენებლობა (მიმდინარეობს სამშენებლო სამუშაოები);
- ჯვარის წყალმომარაგების სისტემის მშენებლობა (მიმდინარეობს სამშენებლო სამუშაოები);
- ჭიათურაში წყალმომარაგების სისტემის მშენებლობა (მიმდინარეობს სამშენებლო სამუშაოები);
- მარნეულში წყლისა და წყალარინების სისტემების მშენებლობა, ბოლნისის წყალარინების სისტემისა და კოლექტორის მშენებლობა  (ხელშეკრულება გაფორმებულია)
- აბაშის მაგისტრალური ხაზის მშენებლობა (მიმდინარეობს სამშენებლო სამუშაოები)
- თელავის წყალმომარაგების სისტემის მშენებლობა (მიმდინარეობს ტენდერის ხელახლა გამოცხადების პროცედურები)
- გუდაურის წყლისა და წყალარინების სისტემების მშენებლობა (მიმდინარეობს სატენდერო პროცედურები) 
- გუდაურის წყალარინების გამწმენდი ნაგებობების მშენებლობა (მიმდინარეობს სატენდერო პროცედურები)
 </t>
  </si>
  <si>
    <r>
      <rPr>
        <b/>
        <sz val="12"/>
        <rFont val="Franklin Gothic Book"/>
        <family val="2"/>
        <scheme val="minor"/>
      </rPr>
      <t xml:space="preserve">
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წარმოება/გადამუშავება/რეალიზაციის კუთხით ინვესტიციების ხელშეწყობა</t>
    </r>
    <r>
      <rPr>
        <sz val="12"/>
        <rFont val="Franklin Gothic Book"/>
        <family val="2"/>
        <scheme val="minor"/>
      </rPr>
      <t xml:space="preserve">
 - მოეწყო ხეხილის 4, ბოსტნეულის 2, კენკროვანი კულტურის 3, დაფნის 1, ვერმიკომპოსტის 1, კონსერვაციული სოფლის მეურნეობის 1 და ქარსაცავის 2 სადემონსტრაციო ნაკვეთი კახეთის, შიდა ქართლის, აჭარის და სამეგრელოს რეგიონებში, თეორიული და პრაქტიკული სწავლება ჩაუტარდათ 2069 ფერმერს (მათ შორის 549 ქალი).
- გაცემულია 330 მცირე და დიდი გრანტი. (324  პირველადი წარმოებისათვის და 6 გადამამუშავებელი საწარმოსთვის); 
- დასრულდა გორის მუნიციპალიტეტში ტირიფონის სარწყავი სისტემის გამანაწილებელის არხის რეაბილიტაცია;
- დასრულდა ძევერა-შერთულის საირიგაციო სისტემის მაგისტრალური არხის და შიდა ქსელების რეაბილიცია; 
- დასრულდა ტენდერი დეტალური პროექტის მოსამზადებლად  სარწყავი სისტემის გამანაწილებლების და  ქსელის რეაბილიტაციისთვის (ქვემო ალაზანი, სალთვისი);
- მიმდინარეობს ქვემო ალაზნის, სარწყავი სისტემის გამანაწილებელი არხის რეაბილიტაცია/მოდერნიზაციისათვის ხელშეკრულების მომზადება.
-  შიდა ქართლში (ქარელი, გორი) და სამეგრელოში (ხობი) სოფლის მცირე ინფრასტრუქტურის (გზები და ხიდები) რეაბილიტაციისთვის დაწყებულია სამშენებლო სამუშაოები;
- დასრულდა ლაგოდეხის მუნიციპალიტეტის, სოფელ გიორგეთში,  შიდასასოფლო გზის რეაბილიტაცია;
- გამოცხადებულია ტენდერი დეტალური პროექტის მოსამზადებლად  შიდა ქართლში, გორის მუნიციპალიტეტში, მდინარე ჭარებულას ლანდშაფტის აღდგენის გეგმისთვის.
- მზადდება შიდა ქართლში, გორის მუნიციპალიტეტში, სოფელ საქაშეთში ლანდშაფტის აღდგენის, კერძოდ ქარსაცავის მოწყობის გეგმა. 
</t>
    </r>
  </si>
  <si>
    <t xml:space="preserve"> - სამტრედია - გრიგოლეთის მონაკვეთზე (დაახლოებით 52 კმ) ახალი ოთხზოლიანი ავტომაგისტრალის მშენებლობა (სამშენებლო სამუშაოები მიმდინარეობს II, III და IV ლოტის ფარგლებში; ლოტი I -დარჩენილ სამუშაოებზე  ხელშეკრულება გაფორმდა ტენდერში გამარჯვებულ სამშენებლო კომპანიასთან);
 - ფოთი-გრიგოლეთის მონაკვეთი (დეტალური პროექტის მომზადების სამუშაოები დასრულდა).</t>
  </si>
  <si>
    <t xml:space="preserve"> -  აღმოსავლეთ-დასავლეთის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(სამშენებლო სამუშაოებზე ტენდერი გამოცხადდა 2018 წლის 8 ნოემბერს).
პროექტი განხორციელდება EIB-ის თანამონაწილეობით.</t>
  </si>
  <si>
    <t>თბილისი-სენაკი-ლესელიძის საავტომობილო გზის ხევი უბისას მონაკვეთის რეკონსტრუქცია - მშენებლობა (გაფორმდა ხელშეკრულება ტენდერში გამარჯვებულ სამშენებლო კომპანიასთან).</t>
  </si>
  <si>
    <r>
      <t>თბილისი-სენაკი-ლესელიძის საავტომობილო გზის უბისა-შორაპანის მონაკვეთის რეკონსტრუქცია-მშენებლობა</t>
    </r>
    <r>
      <rPr>
        <sz val="12"/>
        <color rgb="FFFF0000"/>
        <rFont val="Franklin Gothic Book"/>
        <family val="2"/>
        <scheme val="minor"/>
      </rPr>
      <t xml:space="preserve"> </t>
    </r>
    <r>
      <rPr>
        <sz val="12"/>
        <rFont val="Franklin Gothic Book"/>
        <family val="2"/>
        <scheme val="minor"/>
      </rPr>
      <t xml:space="preserve"> (გაფორმდა ხელშეკრულება ტენდერში გამარჯვებულ სამშენებლო კომპანიასთან).</t>
    </r>
  </si>
  <si>
    <t xml:space="preserve">   გრიგოლეთი-ქობულეთის შემოვლითი გზის მონაკვეთის მშენებლობა  (2018 წლის 3 დეკემბერს გაფორმდა ხელშეკრულება ტენდერში გამარჯვებულ სამშენებლო კომპანიასთან).</t>
  </si>
  <si>
    <t>საქართველოს სხვადასხვა რეგიონში (დაახლოებით 200 კმ საერთო სიგრძის) შიდასახელმწიფოებრივი და ადგილობრივი გზების რეაბილიტაცია  (პროექტის ფარგლებში განხორციელდება დამატებით 12 გზის რეაბილიტაცია (მთლიანობაში დაახლოებით 80 კმ), ხელშეკრულებები გაფორმდა 4 ს/გზის მონაკვეთის რეაბილიტაციისთვის, 2 ხელშეკრულება გაფორმების პროცესშია, 6 გზის რეაბილიტაციისთვის მიმდინარეობს სატენდერო პროცედურები მშენებელ-კონტრაქტორთა შესარჩევად).</t>
  </si>
  <si>
    <r>
      <t xml:space="preserve"> - ძირულა-ხარაგაული-მოლითი-ფონა-ჩუმათელეთის დამაკავშირებელი შიდასახელმწიფოებრივი გზის რეაბილიტაცია</t>
    </r>
    <r>
      <rPr>
        <sz val="12"/>
        <color rgb="FFFF0000"/>
        <rFont val="Franklin Gothic Book"/>
        <family val="2"/>
        <scheme val="minor"/>
      </rPr>
      <t xml:space="preserve"> </t>
    </r>
    <r>
      <rPr>
        <sz val="12"/>
        <rFont val="Franklin Gothic Book"/>
        <family val="2"/>
        <scheme val="minor"/>
      </rPr>
      <t>(ძირულა -მოლითის გზის რეაბილიტაციის ხელშეკრულება გაფორმდა მშენებელ-კონტრაქტორთან;მოლითი-ჩუმათელეთის გზის მონაკვეთის რეაბილიტაციისთვის 2018 წლის 4 დეკემბერს გაფორმდა ხელშეკრულება ტენდერში გამარჯვებულ სამშენებლო კომპანიასთან).</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</si>
</sst>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25">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b/>
      <sz val="14"/>
      <color theme="1"/>
      <name val="Calibri"/>
      <family val="2"/>
    </font>
    <font>
      <sz val="14"/>
      <color theme="1"/>
      <name val="Franklin Gothic Book"/>
      <family val="2"/>
      <scheme val="minor"/>
    </font>
    <font>
      <sz val="12"/>
      <name val="Franklin Gothic Book"/>
      <family val="1"/>
      <scheme val="minor"/>
    </font>
    <font>
      <sz val="12"/>
      <color theme="1" tint="0.14999847407452621"/>
      <name val="Franklin Gothic Book"/>
      <family val="2"/>
      <scheme val="minor"/>
    </font>
    <font>
      <b/>
      <sz val="12"/>
      <color theme="1"/>
      <name val="Franklin Gothic Book"/>
      <family val="2"/>
      <scheme val="minor"/>
    </font>
    <font>
      <sz val="16"/>
      <color theme="1"/>
      <name val="Franklin Gothic Book"/>
      <family val="2"/>
      <scheme val="minor"/>
    </font>
    <font>
      <sz val="16"/>
      <name val="Franklin Gothic Book"/>
      <family val="2"/>
      <scheme val="minor"/>
    </font>
    <font>
      <b/>
      <sz val="12"/>
      <color rgb="FF00B050"/>
      <name val="Franklin Gothic Book"/>
      <family val="2"/>
      <scheme val="minor"/>
    </font>
    <font>
      <b/>
      <sz val="11"/>
      <name val="Franklin Gothic Book"/>
      <family val="2"/>
      <scheme val="minor"/>
    </font>
    <font>
      <sz val="11"/>
      <name val="Franklin Gothic Book"/>
      <family val="2"/>
      <scheme val="minor"/>
    </font>
    <font>
      <b/>
      <sz val="16"/>
      <color theme="1"/>
      <name val="Franklin Gothic Book"/>
      <family val="2"/>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medium">
        <color indexed="64"/>
      </right>
      <top style="medium">
        <color indexed="64"/>
      </top>
      <bottom style="dotted">
        <color theme="1" tint="4.9989318521683403E-2"/>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medium">
        <color indexed="64"/>
      </right>
      <top style="dotted">
        <color theme="1" tint="4.9989318521683403E-2"/>
      </top>
      <bottom style="dotted">
        <color theme="1" tint="4.9989318521683403E-2"/>
      </bottom>
      <diagonal/>
    </border>
    <border>
      <left style="medium">
        <color indexed="64"/>
      </left>
      <right style="dotted">
        <color theme="1" tint="4.9989318521683403E-2"/>
      </right>
      <top style="dotted">
        <color theme="1" tint="4.9989318521683403E-2"/>
      </top>
      <bottom style="medium">
        <color indexed="64"/>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otted">
        <color theme="1" tint="4.9989318521683403E-2"/>
      </left>
      <right style="medium">
        <color indexed="64"/>
      </right>
      <top style="dotted">
        <color theme="1" tint="4.9989318521683403E-2"/>
      </top>
      <bottom style="medium">
        <color indexed="64"/>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ashed">
        <color theme="0" tint="-0.34998626667073579"/>
      </left>
      <right style="medium">
        <color indexed="64"/>
      </right>
      <top style="dashed">
        <color theme="0" tint="-0.34998626667073579"/>
      </top>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226">
    <xf numFmtId="0" fontId="0" fillId="0" borderId="0" xfId="0"/>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49" fontId="10" fillId="0" borderId="0" xfId="1" applyNumberFormat="1" applyFont="1" applyFill="1" applyBorder="1" applyAlignment="1" applyProtection="1">
      <alignment horizontal="left" vertical="center" wrapText="1" readingOrder="1"/>
      <protection locked="0"/>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49" fontId="6" fillId="0" borderId="0" xfId="1" applyNumberFormat="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165" fontId="5" fillId="0" borderId="13" xfId="1" applyNumberFormat="1" applyFont="1" applyFill="1" applyBorder="1" applyAlignment="1">
      <alignment horizontal="center" vertical="center" wrapText="1"/>
    </xf>
    <xf numFmtId="0" fontId="13" fillId="0" borderId="0" xfId="1" applyFont="1" applyFill="1" applyBorder="1" applyAlignment="1">
      <alignment vertical="center"/>
    </xf>
    <xf numFmtId="0" fontId="13" fillId="0" borderId="0" xfId="1" applyFont="1" applyFill="1" applyBorder="1" applyAlignment="1">
      <alignment vertical="center" wrapText="1"/>
    </xf>
    <xf numFmtId="164" fontId="13" fillId="0"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5" fillId="3" borderId="0" xfId="1" applyNumberFormat="1" applyFont="1" applyFill="1" applyBorder="1" applyAlignment="1">
      <alignment horizontal="center" vertical="center" wrapText="1"/>
    </xf>
    <xf numFmtId="0" fontId="15" fillId="3" borderId="0" xfId="1" applyFont="1" applyFill="1" applyBorder="1" applyAlignment="1">
      <alignment horizontal="center" vertical="center" wrapText="1"/>
    </xf>
    <xf numFmtId="0" fontId="5" fillId="3" borderId="0" xfId="1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5" fillId="4" borderId="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43" fontId="5" fillId="0" borderId="13" xfId="15"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5" fontId="5" fillId="0"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xf>
    <xf numFmtId="164" fontId="5" fillId="0" borderId="14"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xf>
    <xf numFmtId="164" fontId="15" fillId="3" borderId="3" xfId="1" applyNumberFormat="1" applyFont="1" applyFill="1" applyBorder="1" applyAlignment="1">
      <alignment horizontal="center" vertical="center"/>
    </xf>
    <xf numFmtId="165" fontId="5" fillId="0" borderId="22" xfId="1" applyNumberFormat="1" applyFont="1" applyFill="1" applyBorder="1" applyAlignment="1">
      <alignment horizontal="center" vertical="center" wrapText="1"/>
    </xf>
    <xf numFmtId="164" fontId="5" fillId="0" borderId="22" xfId="1" applyNumberFormat="1" applyFont="1" applyFill="1" applyBorder="1" applyAlignment="1">
      <alignment horizontal="center" vertical="center"/>
    </xf>
    <xf numFmtId="164" fontId="5" fillId="0" borderId="22" xfId="1" applyNumberFormat="1" applyFont="1" applyFill="1" applyBorder="1" applyAlignment="1">
      <alignment horizontal="center" vertical="center" wrapText="1"/>
    </xf>
    <xf numFmtId="165" fontId="5" fillId="2" borderId="25" xfId="1" applyNumberFormat="1" applyFont="1" applyFill="1" applyBorder="1" applyAlignment="1">
      <alignment horizontal="center" vertical="center" wrapText="1"/>
    </xf>
    <xf numFmtId="164" fontId="5" fillId="0" borderId="25" xfId="1" quotePrefix="1" applyNumberFormat="1" applyFont="1" applyFill="1" applyBorder="1" applyAlignment="1">
      <alignment horizontal="center" vertical="center"/>
    </xf>
    <xf numFmtId="164" fontId="5" fillId="2" borderId="25" xfId="1" applyNumberFormat="1" applyFont="1" applyFill="1" applyBorder="1" applyAlignment="1">
      <alignment horizontal="center" vertical="center"/>
    </xf>
    <xf numFmtId="43" fontId="5" fillId="0" borderId="25" xfId="15" applyFont="1" applyFill="1" applyBorder="1" applyAlignment="1">
      <alignment horizontal="center" vertical="center"/>
    </xf>
    <xf numFmtId="165" fontId="5" fillId="0" borderId="28" xfId="1" applyNumberFormat="1" applyFont="1" applyFill="1" applyBorder="1" applyAlignment="1">
      <alignment horizontal="center" vertical="center" wrapText="1"/>
    </xf>
    <xf numFmtId="164" fontId="5" fillId="0" borderId="28" xfId="1" applyNumberFormat="1" applyFont="1" applyFill="1" applyBorder="1" applyAlignment="1">
      <alignment horizontal="center" vertical="center"/>
    </xf>
    <xf numFmtId="43" fontId="5" fillId="0" borderId="28" xfId="15" applyFont="1" applyFill="1" applyBorder="1" applyAlignment="1">
      <alignment horizontal="center" vertical="center"/>
    </xf>
    <xf numFmtId="164" fontId="5" fillId="5" borderId="28"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xf>
    <xf numFmtId="164" fontId="5" fillId="2" borderId="14"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xf>
    <xf numFmtId="165" fontId="5" fillId="2" borderId="14" xfId="1" applyNumberFormat="1" applyFont="1" applyFill="1" applyBorder="1" applyAlignment="1">
      <alignment horizontal="center" vertical="center" wrapText="1"/>
    </xf>
    <xf numFmtId="164" fontId="15" fillId="0" borderId="3"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wrapText="1"/>
    </xf>
    <xf numFmtId="0" fontId="15" fillId="0" borderId="0" xfId="1" applyFont="1" applyFill="1" applyBorder="1" applyAlignment="1">
      <alignment vertical="center"/>
    </xf>
    <xf numFmtId="164" fontId="13" fillId="0" borderId="0"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165" fontId="5" fillId="0" borderId="25"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49" fontId="6" fillId="0"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5"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43" fontId="6" fillId="0" borderId="13" xfId="15"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49" fontId="6" fillId="0" borderId="20" xfId="1" applyNumberFormat="1" applyFont="1" applyFill="1" applyBorder="1" applyAlignment="1">
      <alignment horizontal="left" vertical="center" wrapText="1"/>
    </xf>
    <xf numFmtId="164" fontId="16"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center" vertical="center"/>
    </xf>
    <xf numFmtId="165" fontId="11" fillId="0" borderId="13" xfId="1" applyNumberFormat="1" applyFont="1" applyFill="1" applyBorder="1" applyAlignment="1">
      <alignment horizontal="center" vertical="center" wrapText="1"/>
    </xf>
    <xf numFmtId="164" fontId="6" fillId="0" borderId="22"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165" fontId="17" fillId="2" borderId="25"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25"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4" fontId="11" fillId="0" borderId="12" xfId="1" applyNumberFormat="1" applyFont="1" applyFill="1" applyBorder="1" applyAlignment="1">
      <alignment horizontal="center" vertical="center"/>
    </xf>
    <xf numFmtId="164" fontId="11" fillId="2" borderId="13" xfId="1" applyNumberFormat="1" applyFont="1" applyFill="1" applyBorder="1" applyAlignment="1">
      <alignment horizontal="center" vertical="center"/>
    </xf>
    <xf numFmtId="164" fontId="11" fillId="0" borderId="13" xfId="1" applyNumberFormat="1" applyFont="1" applyFill="1" applyBorder="1" applyAlignment="1">
      <alignment horizontal="center" vertical="center" wrapText="1"/>
    </xf>
    <xf numFmtId="15" fontId="6" fillId="0" borderId="0" xfId="1" applyNumberFormat="1" applyFont="1" applyFill="1" applyBorder="1" applyAlignment="1">
      <alignment vertical="center"/>
    </xf>
    <xf numFmtId="0" fontId="7" fillId="3" borderId="0" xfId="1" applyNumberFormat="1" applyFont="1" applyFill="1" applyBorder="1" applyAlignment="1">
      <alignment horizontal="center" vertical="center" wrapText="1"/>
    </xf>
    <xf numFmtId="164" fontId="9" fillId="4" borderId="4" xfId="1" applyNumberFormat="1" applyFont="1" applyFill="1" applyBorder="1" applyAlignment="1">
      <alignment horizontal="center" vertical="center"/>
    </xf>
    <xf numFmtId="164" fontId="9" fillId="3" borderId="4" xfId="1" applyNumberFormat="1" applyFont="1" applyFill="1" applyBorder="1" applyAlignment="1">
      <alignment horizontal="center" vertical="center"/>
    </xf>
    <xf numFmtId="164" fontId="6" fillId="0" borderId="28"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18" fillId="0" borderId="0" xfId="1" applyFont="1" applyFill="1" applyBorder="1" applyAlignment="1" applyProtection="1">
      <alignment horizontal="left" vertical="center" wrapText="1" readingOrder="1"/>
      <protection locked="0"/>
    </xf>
    <xf numFmtId="164" fontId="5" fillId="0" borderId="0" xfId="1" applyNumberFormat="1" applyFont="1" applyFill="1" applyBorder="1" applyAlignment="1">
      <alignment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0" fontId="6" fillId="0" borderId="17" xfId="1" applyFont="1" applyFill="1" applyBorder="1" applyAlignment="1">
      <alignment vertical="center" wrapText="1"/>
    </xf>
    <xf numFmtId="49" fontId="6" fillId="0" borderId="38" xfId="1" applyNumberFormat="1" applyFont="1" applyFill="1" applyBorder="1" applyAlignment="1">
      <alignment horizontal="left" vertical="center" wrapText="1"/>
    </xf>
    <xf numFmtId="164" fontId="6" fillId="0" borderId="13"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4" fontId="6" fillId="2" borderId="13" xfId="1" applyNumberFormat="1" applyFont="1" applyFill="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164" fontId="6" fillId="0" borderId="12" xfId="1" applyNumberFormat="1" applyFont="1" applyFill="1" applyBorder="1" applyAlignment="1">
      <alignment horizontal="center" vertical="center"/>
    </xf>
    <xf numFmtId="49" fontId="6" fillId="2" borderId="18" xfId="1" applyNumberFormat="1" applyFont="1" applyFill="1" applyBorder="1" applyAlignment="1">
      <alignment horizontal="left" vertical="center" wrapText="1"/>
    </xf>
    <xf numFmtId="165" fontId="6" fillId="0" borderId="12" xfId="1" applyNumberFormat="1" applyFont="1" applyFill="1" applyBorder="1" applyAlignment="1">
      <alignment horizontal="center" vertical="center" wrapText="1"/>
    </xf>
    <xf numFmtId="49" fontId="9" fillId="0" borderId="0" xfId="1" applyNumberFormat="1" applyFont="1" applyFill="1" applyBorder="1" applyAlignment="1">
      <alignment vertical="center"/>
    </xf>
    <xf numFmtId="49" fontId="6" fillId="3" borderId="11" xfId="11" applyNumberFormat="1" applyFont="1" applyFill="1" applyBorder="1" applyAlignment="1">
      <alignment horizontal="center" vertical="center" wrapText="1"/>
    </xf>
    <xf numFmtId="49" fontId="9" fillId="4" borderId="2" xfId="1" applyNumberFormat="1" applyFont="1" applyFill="1" applyBorder="1" applyAlignment="1">
      <alignment horizontal="center" vertical="center"/>
    </xf>
    <xf numFmtId="49" fontId="9" fillId="3" borderId="2" xfId="1" applyNumberFormat="1" applyFont="1" applyFill="1" applyBorder="1" applyAlignment="1">
      <alignment horizontal="center" vertical="center"/>
    </xf>
    <xf numFmtId="49" fontId="6" fillId="0" borderId="23" xfId="1" applyNumberFormat="1" applyFont="1" applyFill="1" applyBorder="1" applyAlignment="1">
      <alignment horizontal="left" vertical="center" wrapText="1"/>
    </xf>
    <xf numFmtId="49" fontId="6" fillId="0" borderId="26" xfId="1" applyNumberFormat="1" applyFont="1" applyFill="1" applyBorder="1" applyAlignment="1">
      <alignment horizontal="left" vertical="center" wrapText="1"/>
    </xf>
    <xf numFmtId="49" fontId="6" fillId="0" borderId="29" xfId="1" applyNumberFormat="1" applyFont="1" applyFill="1" applyBorder="1" applyAlignment="1">
      <alignment horizontal="left" vertical="center" wrapText="1"/>
    </xf>
    <xf numFmtId="49" fontId="6" fillId="0" borderId="16" xfId="1" applyNumberFormat="1" applyFont="1" applyFill="1" applyBorder="1" applyAlignment="1">
      <alignment horizontal="left" vertical="center" wrapText="1"/>
    </xf>
    <xf numFmtId="49" fontId="6" fillId="2" borderId="20" xfId="1" applyNumberFormat="1" applyFont="1" applyFill="1" applyBorder="1" applyAlignment="1">
      <alignment horizontal="left" vertical="center" wrapText="1"/>
    </xf>
    <xf numFmtId="49" fontId="6" fillId="0" borderId="18" xfId="1" applyNumberFormat="1" applyFont="1" applyFill="1" applyBorder="1" applyAlignment="1">
      <alignment vertical="center"/>
    </xf>
    <xf numFmtId="0" fontId="9" fillId="0" borderId="0" xfId="1" applyFont="1" applyFill="1" applyBorder="1" applyAlignment="1">
      <alignment vertical="center"/>
    </xf>
    <xf numFmtId="15" fontId="6" fillId="2" borderId="0" xfId="1" applyNumberFormat="1" applyFont="1" applyFill="1" applyBorder="1" applyAlignment="1">
      <alignment vertical="center"/>
    </xf>
    <xf numFmtId="0" fontId="6" fillId="3" borderId="1" xfId="1" applyFont="1" applyFill="1" applyBorder="1" applyAlignment="1">
      <alignment horizontal="center" vertical="center"/>
    </xf>
    <xf numFmtId="0" fontId="6" fillId="2" borderId="17" xfId="1" applyFont="1" applyFill="1" applyBorder="1" applyAlignment="1">
      <alignment vertical="center" wrapText="1"/>
    </xf>
    <xf numFmtId="0" fontId="6" fillId="0" borderId="19" xfId="1" applyFont="1" applyFill="1" applyBorder="1" applyAlignment="1">
      <alignment vertical="center" wrapText="1"/>
    </xf>
    <xf numFmtId="0" fontId="6" fillId="0" borderId="21"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4" xfId="4"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9" xfId="1" applyFont="1" applyFill="1" applyBorder="1" applyAlignment="1">
      <alignment horizontal="left" vertical="center" wrapText="1"/>
    </xf>
    <xf numFmtId="0" fontId="6" fillId="0" borderId="17" xfId="4" applyFont="1" applyFill="1" applyBorder="1" applyAlignment="1">
      <alignment horizontal="left" vertical="center" wrapText="1"/>
    </xf>
    <xf numFmtId="3" fontId="9" fillId="0" borderId="0" xfId="1" applyNumberFormat="1" applyFont="1" applyFill="1" applyBorder="1" applyAlignment="1">
      <alignment horizontal="right" vertical="center"/>
    </xf>
    <xf numFmtId="0" fontId="6" fillId="0" borderId="17" xfId="1" applyFont="1" applyFill="1" applyBorder="1" applyAlignment="1">
      <alignment horizontal="left" vertical="center" wrapText="1"/>
    </xf>
    <xf numFmtId="4" fontId="19" fillId="0" borderId="0" xfId="1" applyNumberFormat="1" applyFont="1" applyFill="1" applyBorder="1" applyAlignment="1">
      <alignment vertical="center"/>
    </xf>
    <xf numFmtId="4" fontId="20" fillId="0" borderId="0" xfId="1" applyNumberFormat="1" applyFont="1" applyFill="1" applyBorder="1" applyAlignment="1">
      <alignment vertical="center"/>
    </xf>
    <xf numFmtId="164" fontId="6" fillId="0" borderId="13" xfId="1" applyNumberFormat="1" applyFont="1" applyFill="1" applyBorder="1" applyAlignment="1">
      <alignment horizontal="center" vertical="center"/>
    </xf>
    <xf numFmtId="49" fontId="23" fillId="0" borderId="18" xfId="1" applyNumberFormat="1" applyFont="1" applyFill="1" applyBorder="1" applyAlignment="1" applyProtection="1">
      <alignment horizontal="left" vertical="center" wrapText="1"/>
      <protection locked="0"/>
    </xf>
    <xf numFmtId="164" fontId="6"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24" fillId="3" borderId="4"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49" fontId="6" fillId="0" borderId="18" xfId="1" applyNumberFormat="1" applyFont="1" applyFill="1" applyBorder="1" applyAlignment="1">
      <alignment horizontal="left" vertical="center" wrapText="1"/>
    </xf>
    <xf numFmtId="49" fontId="6" fillId="0" borderId="30" xfId="1" applyNumberFormat="1" applyFont="1" applyFill="1" applyBorder="1" applyAlignment="1">
      <alignment horizontal="left" vertical="center" wrapText="1"/>
    </xf>
    <xf numFmtId="164" fontId="6" fillId="0" borderId="13" xfId="1" applyNumberFormat="1" applyFont="1" applyFill="1" applyBorder="1" applyAlignment="1">
      <alignment horizontal="center" vertical="center"/>
    </xf>
    <xf numFmtId="49" fontId="6" fillId="0" borderId="18" xfId="1" applyNumberFormat="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164" fontId="5" fillId="0" borderId="33" xfId="1" applyNumberFormat="1" applyFont="1" applyFill="1" applyBorder="1" applyAlignment="1">
      <alignment horizontal="center" vertical="center"/>
    </xf>
    <xf numFmtId="164" fontId="5" fillId="0" borderId="35" xfId="1" applyNumberFormat="1" applyFont="1" applyFill="1" applyBorder="1" applyAlignment="1">
      <alignment horizontal="center" vertical="center"/>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164" fontId="21" fillId="0" borderId="33" xfId="1" applyNumberFormat="1" applyFont="1" applyFill="1" applyBorder="1" applyAlignment="1">
      <alignment horizontal="center" vertical="center"/>
    </xf>
    <xf numFmtId="164" fontId="21" fillId="0" borderId="35"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0" fontId="13" fillId="4" borderId="6" xfId="11" applyNumberFormat="1" applyFont="1" applyFill="1" applyBorder="1" applyAlignment="1">
      <alignment horizontal="center" vertical="center" wrapText="1"/>
    </xf>
    <xf numFmtId="0" fontId="13" fillId="4" borderId="9" xfId="11" applyNumberFormat="1" applyFont="1" applyFill="1" applyBorder="1" applyAlignment="1">
      <alignment horizontal="center" vertical="center" wrapText="1"/>
    </xf>
    <xf numFmtId="49" fontId="9" fillId="4" borderId="7" xfId="11" applyNumberFormat="1" applyFont="1" applyFill="1" applyBorder="1" applyAlignment="1">
      <alignment horizontal="center" vertical="center" wrapText="1"/>
    </xf>
    <xf numFmtId="49" fontId="9" fillId="4" borderId="10" xfId="1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wrapText="1"/>
    </xf>
    <xf numFmtId="0" fontId="6" fillId="0" borderId="36" xfId="1" applyFont="1" applyFill="1" applyBorder="1" applyAlignment="1">
      <alignment horizontal="left" vertical="center" wrapText="1"/>
    </xf>
    <xf numFmtId="0" fontId="6" fillId="0" borderId="37" xfId="1" applyFont="1" applyFill="1" applyBorder="1" applyAlignment="1">
      <alignment horizontal="left" vertical="center" wrapText="1"/>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0" fontId="13" fillId="4" borderId="1" xfId="1" applyFont="1" applyFill="1" applyBorder="1" applyAlignment="1">
      <alignment horizontal="left" vertical="center"/>
    </xf>
    <xf numFmtId="0" fontId="13" fillId="4" borderId="3" xfId="1" applyFont="1" applyFill="1" applyBorder="1" applyAlignment="1">
      <alignment horizontal="left" vertical="center"/>
    </xf>
    <xf numFmtId="0" fontId="13" fillId="4" borderId="2" xfId="1" applyFont="1" applyFill="1" applyBorder="1" applyAlignment="1">
      <alignment horizontal="left" vertical="center"/>
    </xf>
    <xf numFmtId="0" fontId="9" fillId="4" borderId="5" xfId="1" applyFont="1" applyFill="1" applyBorder="1" applyAlignment="1">
      <alignment horizontal="center" vertical="center"/>
    </xf>
    <xf numFmtId="0" fontId="9" fillId="4" borderId="8" xfId="1" applyFont="1" applyFill="1" applyBorder="1" applyAlignment="1">
      <alignment horizontal="center" vertical="center"/>
    </xf>
    <xf numFmtId="0" fontId="6" fillId="2" borderId="17" xfId="1" applyFont="1" applyFill="1" applyBorder="1" applyAlignment="1">
      <alignment vertical="center" wrapText="1"/>
    </xf>
    <xf numFmtId="0" fontId="9" fillId="4" borderId="6" xfId="1" applyNumberFormat="1" applyFont="1" applyFill="1" applyBorder="1" applyAlignment="1">
      <alignment horizontal="center" vertical="center" wrapText="1"/>
    </xf>
    <xf numFmtId="0" fontId="9" fillId="4" borderId="9"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0" fontId="6" fillId="0" borderId="24" xfId="1" applyFont="1" applyFill="1" applyBorder="1" applyAlignment="1">
      <alignment horizontal="left" vertical="center" wrapText="1"/>
    </xf>
    <xf numFmtId="165" fontId="5" fillId="0" borderId="25"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49" fontId="6" fillId="0" borderId="32"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0" fontId="6" fillId="2" borderId="15" xfId="1" applyFont="1" applyFill="1" applyBorder="1" applyAlignment="1">
      <alignment vertical="center" wrapText="1"/>
    </xf>
    <xf numFmtId="165" fontId="6" fillId="0" borderId="12" xfId="1" applyNumberFormat="1" applyFont="1" applyFill="1" applyBorder="1" applyAlignment="1">
      <alignment horizontal="center" vertical="center" wrapText="1"/>
    </xf>
    <xf numFmtId="165" fontId="6" fillId="0" borderId="13" xfId="1" applyNumberFormat="1" applyFont="1" applyFill="1" applyBorder="1" applyAlignment="1">
      <alignment horizontal="center" vertical="center" wrapText="1"/>
    </xf>
    <xf numFmtId="0" fontId="13" fillId="3" borderId="1" xfId="1" applyFont="1" applyFill="1" applyBorder="1" applyAlignment="1">
      <alignment horizontal="left" vertical="center"/>
    </xf>
    <xf numFmtId="0" fontId="13" fillId="3" borderId="3" xfId="1" applyFont="1" applyFill="1" applyBorder="1" applyAlignment="1">
      <alignment horizontal="left" vertical="center"/>
    </xf>
    <xf numFmtId="0" fontId="13" fillId="3" borderId="2" xfId="1" applyFont="1" applyFill="1" applyBorder="1" applyAlignment="1">
      <alignment horizontal="left" vertical="center"/>
    </xf>
    <xf numFmtId="49" fontId="6" fillId="0" borderId="26"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6" fillId="0" borderId="18"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164" fontId="6" fillId="0" borderId="25" xfId="1" applyNumberFormat="1" applyFont="1" applyFill="1" applyBorder="1" applyAlignment="1">
      <alignment horizontal="center" vertical="center"/>
    </xf>
    <xf numFmtId="0" fontId="6" fillId="0" borderId="15" xfId="1" applyFont="1" applyFill="1" applyBorder="1" applyAlignment="1">
      <alignment horizontal="left" vertical="center" wrapText="1"/>
    </xf>
    <xf numFmtId="0" fontId="6" fillId="0" borderId="17" xfId="1" applyFont="1" applyFill="1" applyBorder="1" applyAlignment="1">
      <alignment horizontal="left" vertical="center" wrapText="1"/>
    </xf>
    <xf numFmtId="165" fontId="5" fillId="0" borderId="33" xfId="1" applyNumberFormat="1" applyFont="1" applyFill="1" applyBorder="1" applyAlignment="1">
      <alignment horizontal="center" vertical="center" wrapText="1"/>
    </xf>
    <xf numFmtId="165" fontId="5" fillId="0" borderId="34" xfId="1" applyNumberFormat="1" applyFont="1" applyFill="1" applyBorder="1" applyAlignment="1">
      <alignment horizontal="center" vertical="center" wrapText="1"/>
    </xf>
    <xf numFmtId="165" fontId="5" fillId="0" borderId="35" xfId="1" applyNumberFormat="1" applyFont="1" applyFill="1" applyBorder="1" applyAlignment="1">
      <alignment horizontal="center" vertical="center" wrapText="1"/>
    </xf>
    <xf numFmtId="164" fontId="5" fillId="0" borderId="34" xfId="1" applyNumberFormat="1" applyFont="1" applyFill="1" applyBorder="1" applyAlignment="1">
      <alignment horizontal="center" vertical="center"/>
    </xf>
    <xf numFmtId="0" fontId="6" fillId="0" borderId="24" xfId="4" applyFont="1" applyFill="1" applyBorder="1" applyAlignment="1">
      <alignment horizontal="left" vertical="center" wrapText="1"/>
    </xf>
    <xf numFmtId="0" fontId="6" fillId="0" borderId="0" xfId="1" applyFont="1" applyFill="1" applyBorder="1" applyAlignment="1">
      <alignment horizontal="left" vertical="center" wrapText="1"/>
    </xf>
    <xf numFmtId="0" fontId="1" fillId="0" borderId="13" xfId="0" applyFont="1" applyBorder="1" applyAlignment="1">
      <alignment horizontal="center" vertical="center"/>
    </xf>
    <xf numFmtId="49" fontId="23" fillId="0" borderId="30" xfId="1" applyNumberFormat="1" applyFont="1" applyFill="1" applyBorder="1" applyAlignment="1">
      <alignment horizontal="left" vertical="center" wrapText="1"/>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97"/>
  <sheetViews>
    <sheetView tabSelected="1" view="pageBreakPreview" topLeftCell="A83" zoomScale="63" zoomScaleNormal="60" zoomScaleSheetLayoutView="63" zoomScalePageLayoutView="20" workbookViewId="0">
      <selection activeCell="A84" sqref="A84:XFD84"/>
    </sheetView>
  </sheetViews>
  <sheetFormatPr defaultColWidth="9.33203125" defaultRowHeight="16.5"/>
  <cols>
    <col min="1" max="1" width="52.88671875" style="14" customWidth="1"/>
    <col min="2" max="2" width="13.6640625" style="6" customWidth="1"/>
    <col min="3" max="3" width="13.6640625" style="3" customWidth="1"/>
    <col min="4" max="6" width="15.44140625" style="1" customWidth="1"/>
    <col min="7" max="7" width="16.21875" style="5" customWidth="1"/>
    <col min="8" max="8" width="13.44140625" style="1" customWidth="1"/>
    <col min="9" max="9" width="16.21875" style="1" customWidth="1"/>
    <col min="10" max="10" width="13.77734375" style="1" customWidth="1"/>
    <col min="11" max="11" width="16.21875" style="5" customWidth="1"/>
    <col min="12" max="12" width="13.33203125" style="1" customWidth="1"/>
    <col min="13" max="13" width="28.77734375" style="5" hidden="1" customWidth="1"/>
    <col min="14" max="14" width="83.109375" style="17" customWidth="1"/>
    <col min="15" max="15" width="9.33203125" style="1"/>
    <col min="16" max="16" width="19" style="1" customWidth="1"/>
    <col min="17" max="16384" width="9.33203125" style="1"/>
  </cols>
  <sheetData>
    <row r="1" spans="1:14" ht="6.75" customHeight="1">
      <c r="B1" s="16"/>
      <c r="C1" s="16"/>
      <c r="D1" s="14"/>
      <c r="E1" s="14"/>
      <c r="F1" s="14"/>
      <c r="H1" s="14"/>
      <c r="I1" s="14"/>
      <c r="J1" s="14"/>
      <c r="L1" s="14"/>
      <c r="M1" s="14"/>
    </row>
    <row r="2" spans="1:14" s="7" customFormat="1" ht="27" customHeight="1">
      <c r="A2" s="131" t="s">
        <v>157</v>
      </c>
      <c r="B2" s="22"/>
      <c r="C2" s="22"/>
      <c r="D2" s="21"/>
      <c r="E2" s="21"/>
      <c r="F2" s="21"/>
      <c r="G2" s="21"/>
      <c r="H2" s="9"/>
      <c r="I2" s="21"/>
      <c r="J2" s="21"/>
      <c r="K2" s="23"/>
      <c r="L2" s="21"/>
      <c r="M2" s="21"/>
      <c r="N2" s="121"/>
    </row>
    <row r="3" spans="1:14" ht="27" customHeight="1" thickBot="1">
      <c r="A3" s="132" t="s">
        <v>167</v>
      </c>
      <c r="B3" s="24"/>
      <c r="C3" s="24"/>
      <c r="D3" s="25"/>
      <c r="E3" s="25"/>
      <c r="F3" s="25"/>
      <c r="G3" s="25"/>
      <c r="H3" s="97"/>
      <c r="I3" s="25"/>
      <c r="J3" s="25"/>
      <c r="K3" s="25"/>
      <c r="L3" s="25"/>
      <c r="M3" s="25"/>
    </row>
    <row r="4" spans="1:14" s="7" customFormat="1" ht="71.45" customHeight="1">
      <c r="A4" s="189" t="s">
        <v>10</v>
      </c>
      <c r="B4" s="179" t="s">
        <v>112</v>
      </c>
      <c r="C4" s="179" t="s">
        <v>47</v>
      </c>
      <c r="D4" s="170" t="s">
        <v>38</v>
      </c>
      <c r="E4" s="170"/>
      <c r="F4" s="170"/>
      <c r="G4" s="192" t="s">
        <v>135</v>
      </c>
      <c r="H4" s="192"/>
      <c r="I4" s="170" t="s">
        <v>136</v>
      </c>
      <c r="J4" s="170"/>
      <c r="K4" s="170" t="s">
        <v>49</v>
      </c>
      <c r="L4" s="170"/>
      <c r="M4" s="173" t="s">
        <v>0</v>
      </c>
      <c r="N4" s="175" t="s">
        <v>37</v>
      </c>
    </row>
    <row r="5" spans="1:14" s="7" customFormat="1" ht="58.15" customHeight="1" thickBot="1">
      <c r="A5" s="190"/>
      <c r="B5" s="180"/>
      <c r="C5" s="180"/>
      <c r="D5" s="181" t="s">
        <v>34</v>
      </c>
      <c r="E5" s="181"/>
      <c r="F5" s="181"/>
      <c r="G5" s="193" t="s">
        <v>44</v>
      </c>
      <c r="H5" s="193"/>
      <c r="I5" s="181" t="s">
        <v>44</v>
      </c>
      <c r="J5" s="181"/>
      <c r="K5" s="181" t="s">
        <v>44</v>
      </c>
      <c r="L5" s="181"/>
      <c r="M5" s="174"/>
      <c r="N5" s="176"/>
    </row>
    <row r="6" spans="1:14" ht="30.75" customHeight="1" thickBot="1">
      <c r="A6" s="133"/>
      <c r="B6" s="26"/>
      <c r="C6" s="26"/>
      <c r="D6" s="27" t="s">
        <v>26</v>
      </c>
      <c r="E6" s="27" t="s">
        <v>20</v>
      </c>
      <c r="F6" s="27" t="s">
        <v>21</v>
      </c>
      <c r="G6" s="27" t="s">
        <v>20</v>
      </c>
      <c r="H6" s="98" t="s">
        <v>21</v>
      </c>
      <c r="I6" s="27" t="s">
        <v>20</v>
      </c>
      <c r="J6" s="28" t="s">
        <v>21</v>
      </c>
      <c r="K6" s="27" t="s">
        <v>20</v>
      </c>
      <c r="L6" s="27" t="s">
        <v>21</v>
      </c>
      <c r="M6" s="29"/>
      <c r="N6" s="122"/>
    </row>
    <row r="7" spans="1:14" s="8" customFormat="1" ht="36.75" customHeight="1" thickBot="1">
      <c r="A7" s="186" t="s">
        <v>13</v>
      </c>
      <c r="B7" s="187"/>
      <c r="C7" s="187"/>
      <c r="D7" s="187"/>
      <c r="E7" s="187"/>
      <c r="F7" s="188"/>
      <c r="G7" s="30">
        <f t="shared" ref="G7:L7" si="0">SUM(G8:G35)</f>
        <v>751800</v>
      </c>
      <c r="H7" s="99">
        <f t="shared" si="0"/>
        <v>15300</v>
      </c>
      <c r="I7" s="30">
        <f t="shared" si="0"/>
        <v>197268.81691000002</v>
      </c>
      <c r="J7" s="30">
        <f t="shared" si="0"/>
        <v>4700.2958500000004</v>
      </c>
      <c r="K7" s="30">
        <f t="shared" si="0"/>
        <v>1612282.0681099996</v>
      </c>
      <c r="L7" s="30">
        <f t="shared" si="0"/>
        <v>30961.348879999998</v>
      </c>
      <c r="M7" s="31"/>
      <c r="N7" s="123"/>
    </row>
    <row r="8" spans="1:14" ht="72" customHeight="1">
      <c r="A8" s="204" t="s">
        <v>35</v>
      </c>
      <c r="B8" s="171">
        <v>41431</v>
      </c>
      <c r="C8" s="205">
        <v>43524</v>
      </c>
      <c r="D8" s="69" t="s">
        <v>24</v>
      </c>
      <c r="E8" s="69">
        <v>24500</v>
      </c>
      <c r="F8" s="178"/>
      <c r="G8" s="178">
        <v>16000</v>
      </c>
      <c r="H8" s="197"/>
      <c r="I8" s="178">
        <v>14268.46298</v>
      </c>
      <c r="J8" s="196"/>
      <c r="K8" s="178">
        <f>131121.86644+I8</f>
        <v>145390.32942000002</v>
      </c>
      <c r="L8" s="178"/>
      <c r="M8" s="203" t="s">
        <v>42</v>
      </c>
      <c r="N8" s="201" t="s">
        <v>145</v>
      </c>
    </row>
    <row r="9" spans="1:14" ht="74.25" customHeight="1">
      <c r="A9" s="191"/>
      <c r="B9" s="172"/>
      <c r="C9" s="206"/>
      <c r="D9" s="68" t="s">
        <v>25</v>
      </c>
      <c r="E9" s="68">
        <v>38000</v>
      </c>
      <c r="F9" s="177"/>
      <c r="G9" s="177"/>
      <c r="H9" s="194"/>
      <c r="I9" s="177"/>
      <c r="J9" s="195"/>
      <c r="K9" s="177"/>
      <c r="L9" s="177"/>
      <c r="M9" s="202"/>
      <c r="N9" s="167"/>
    </row>
    <row r="10" spans="1:14" s="10" customFormat="1" ht="74.45" customHeight="1">
      <c r="A10" s="191" t="s">
        <v>66</v>
      </c>
      <c r="B10" s="172">
        <v>42410</v>
      </c>
      <c r="C10" s="172">
        <v>44196</v>
      </c>
      <c r="D10" s="68" t="s">
        <v>25</v>
      </c>
      <c r="E10" s="68">
        <v>140000</v>
      </c>
      <c r="F10" s="68"/>
      <c r="G10" s="177">
        <v>73900</v>
      </c>
      <c r="H10" s="194"/>
      <c r="I10" s="177">
        <v>42688.165110000002</v>
      </c>
      <c r="J10" s="195"/>
      <c r="K10" s="177">
        <f>50602.69427+I10</f>
        <v>93290.859380000009</v>
      </c>
      <c r="L10" s="177"/>
      <c r="M10" s="70"/>
      <c r="N10" s="166" t="s">
        <v>144</v>
      </c>
    </row>
    <row r="11" spans="1:14" s="10" customFormat="1" ht="89.25" customHeight="1">
      <c r="A11" s="191"/>
      <c r="B11" s="172"/>
      <c r="C11" s="172"/>
      <c r="D11" s="68" t="s">
        <v>31</v>
      </c>
      <c r="E11" s="68">
        <v>49450</v>
      </c>
      <c r="F11" s="68"/>
      <c r="G11" s="177"/>
      <c r="H11" s="194"/>
      <c r="I11" s="177"/>
      <c r="J11" s="195"/>
      <c r="K11" s="177"/>
      <c r="L11" s="177"/>
      <c r="M11" s="70"/>
      <c r="N11" s="167"/>
    </row>
    <row r="12" spans="1:14" ht="32.25" customHeight="1">
      <c r="A12" s="191" t="s">
        <v>29</v>
      </c>
      <c r="B12" s="172">
        <v>40115</v>
      </c>
      <c r="C12" s="172">
        <v>43737</v>
      </c>
      <c r="D12" s="68" t="s">
        <v>24</v>
      </c>
      <c r="E12" s="68">
        <v>75892</v>
      </c>
      <c r="F12" s="177"/>
      <c r="G12" s="177">
        <v>24475</v>
      </c>
      <c r="H12" s="194"/>
      <c r="I12" s="177">
        <v>34822.0121</v>
      </c>
      <c r="J12" s="177"/>
      <c r="K12" s="177">
        <f>331650.9472+I12</f>
        <v>366472.95929999999</v>
      </c>
      <c r="L12" s="177"/>
      <c r="M12" s="202" t="s">
        <v>42</v>
      </c>
      <c r="N12" s="166" t="s">
        <v>158</v>
      </c>
    </row>
    <row r="13" spans="1:14" ht="42.75" customHeight="1">
      <c r="A13" s="191"/>
      <c r="B13" s="172"/>
      <c r="C13" s="172"/>
      <c r="D13" s="68" t="s">
        <v>28</v>
      </c>
      <c r="E13" s="68">
        <v>140000</v>
      </c>
      <c r="F13" s="177"/>
      <c r="G13" s="177"/>
      <c r="H13" s="194"/>
      <c r="I13" s="177"/>
      <c r="J13" s="177"/>
      <c r="K13" s="177"/>
      <c r="L13" s="177"/>
      <c r="M13" s="202"/>
      <c r="N13" s="167"/>
    </row>
    <row r="14" spans="1:14" ht="36.6" customHeight="1">
      <c r="A14" s="182" t="s">
        <v>81</v>
      </c>
      <c r="B14" s="184">
        <v>42898</v>
      </c>
      <c r="C14" s="184">
        <v>45107</v>
      </c>
      <c r="D14" s="77" t="s">
        <v>31</v>
      </c>
      <c r="E14" s="77">
        <v>108190</v>
      </c>
      <c r="F14" s="162"/>
      <c r="G14" s="162">
        <v>56000</v>
      </c>
      <c r="H14" s="164"/>
      <c r="I14" s="164">
        <v>12292.170050000001</v>
      </c>
      <c r="J14" s="162"/>
      <c r="K14" s="162">
        <f>37967.75632+I14</f>
        <v>50259.926370000001</v>
      </c>
      <c r="L14" s="162"/>
      <c r="M14" s="70"/>
      <c r="N14" s="166" t="s">
        <v>162</v>
      </c>
    </row>
    <row r="15" spans="1:14" s="14" customFormat="1" ht="65.25" customHeight="1">
      <c r="A15" s="183"/>
      <c r="B15" s="185"/>
      <c r="C15" s="185"/>
      <c r="D15" s="77" t="s">
        <v>25</v>
      </c>
      <c r="E15" s="77">
        <v>114000</v>
      </c>
      <c r="F15" s="163"/>
      <c r="G15" s="163"/>
      <c r="H15" s="165"/>
      <c r="I15" s="165"/>
      <c r="J15" s="163"/>
      <c r="K15" s="163"/>
      <c r="L15" s="163"/>
      <c r="M15" s="80"/>
      <c r="N15" s="167"/>
    </row>
    <row r="16" spans="1:14" ht="132.75" customHeight="1">
      <c r="A16" s="134" t="s">
        <v>32</v>
      </c>
      <c r="B16" s="67">
        <v>40163</v>
      </c>
      <c r="C16" s="36">
        <v>45101</v>
      </c>
      <c r="D16" s="68" t="s">
        <v>30</v>
      </c>
      <c r="E16" s="68">
        <v>22132000</v>
      </c>
      <c r="F16" s="68"/>
      <c r="G16" s="91">
        <v>1600</v>
      </c>
      <c r="H16" s="77"/>
      <c r="I16" s="150">
        <v>6591.71839</v>
      </c>
      <c r="J16" s="150"/>
      <c r="K16" s="150">
        <f>388808.33322+I16</f>
        <v>395400.05160999997</v>
      </c>
      <c r="L16" s="150"/>
      <c r="M16" s="70" t="s">
        <v>42</v>
      </c>
      <c r="N16" s="74" t="s">
        <v>151</v>
      </c>
    </row>
    <row r="17" spans="1:14" ht="129.75" customHeight="1">
      <c r="A17" s="134" t="s">
        <v>57</v>
      </c>
      <c r="B17" s="67">
        <v>41040</v>
      </c>
      <c r="C17" s="67">
        <v>43797</v>
      </c>
      <c r="D17" s="68" t="s">
        <v>31</v>
      </c>
      <c r="E17" s="68">
        <v>200000</v>
      </c>
      <c r="F17" s="68">
        <v>20000</v>
      </c>
      <c r="G17" s="91">
        <v>111550</v>
      </c>
      <c r="H17" s="77">
        <v>15300</v>
      </c>
      <c r="I17" s="150">
        <v>34489.837500000001</v>
      </c>
      <c r="J17" s="150">
        <v>4700.2958500000004</v>
      </c>
      <c r="K17" s="150">
        <f>264958.95083+I17</f>
        <v>299448.78833000001</v>
      </c>
      <c r="L17" s="150">
        <f>26261.05303+J17</f>
        <v>30961.348879999998</v>
      </c>
      <c r="M17" s="70" t="s">
        <v>42</v>
      </c>
      <c r="N17" s="159" t="s">
        <v>170</v>
      </c>
    </row>
    <row r="18" spans="1:14" s="14" customFormat="1" ht="63.75" customHeight="1">
      <c r="A18" s="160" t="s">
        <v>140</v>
      </c>
      <c r="B18" s="114" t="s">
        <v>149</v>
      </c>
      <c r="C18" s="114" t="s">
        <v>150</v>
      </c>
      <c r="D18" s="113" t="s">
        <v>31</v>
      </c>
      <c r="E18" s="113">
        <v>16900</v>
      </c>
      <c r="F18" s="105"/>
      <c r="G18" s="162">
        <v>41600</v>
      </c>
      <c r="H18" s="164"/>
      <c r="I18" s="164">
        <v>125.74445</v>
      </c>
      <c r="J18" s="168"/>
      <c r="K18" s="164">
        <f>I18</f>
        <v>125.74445</v>
      </c>
      <c r="L18" s="162"/>
      <c r="M18" s="106"/>
      <c r="N18" s="166" t="s">
        <v>171</v>
      </c>
    </row>
    <row r="19" spans="1:14" s="14" customFormat="1" ht="48" customHeight="1">
      <c r="A19" s="161"/>
      <c r="B19" s="114"/>
      <c r="C19" s="114"/>
      <c r="D19" s="113"/>
      <c r="E19" s="113"/>
      <c r="F19" s="84"/>
      <c r="G19" s="163"/>
      <c r="H19" s="165"/>
      <c r="I19" s="165"/>
      <c r="J19" s="169"/>
      <c r="K19" s="165"/>
      <c r="L19" s="163"/>
      <c r="M19" s="96"/>
      <c r="N19" s="167"/>
    </row>
    <row r="20" spans="1:14" s="14" customFormat="1" ht="86.25" customHeight="1">
      <c r="A20" s="134" t="s">
        <v>123</v>
      </c>
      <c r="B20" s="85"/>
      <c r="C20" s="85"/>
      <c r="D20" s="84"/>
      <c r="E20" s="84"/>
      <c r="F20" s="84"/>
      <c r="G20" s="91">
        <v>52450</v>
      </c>
      <c r="H20" s="84"/>
      <c r="I20" s="84"/>
      <c r="J20" s="84"/>
      <c r="K20" s="91"/>
      <c r="L20" s="84"/>
      <c r="M20" s="96"/>
      <c r="N20" s="157" t="s">
        <v>172</v>
      </c>
    </row>
    <row r="21" spans="1:14" s="14" customFormat="1" ht="64.5" customHeight="1">
      <c r="A21" s="134" t="s">
        <v>124</v>
      </c>
      <c r="B21" s="85"/>
      <c r="C21" s="85"/>
      <c r="D21" s="84"/>
      <c r="E21" s="84"/>
      <c r="F21" s="84"/>
      <c r="G21" s="91">
        <v>52450</v>
      </c>
      <c r="H21" s="84"/>
      <c r="I21" s="84"/>
      <c r="J21" s="84"/>
      <c r="K21" s="91"/>
      <c r="L21" s="84"/>
      <c r="M21" s="96"/>
      <c r="N21" s="157" t="s">
        <v>173</v>
      </c>
    </row>
    <row r="22" spans="1:14" s="14" customFormat="1" ht="73.5" customHeight="1">
      <c r="A22" s="134" t="s">
        <v>125</v>
      </c>
      <c r="B22" s="85"/>
      <c r="C22" s="85"/>
      <c r="D22" s="84"/>
      <c r="E22" s="84"/>
      <c r="F22" s="84"/>
      <c r="G22" s="91">
        <v>52450</v>
      </c>
      <c r="H22" s="84"/>
      <c r="I22" s="84"/>
      <c r="J22" s="84"/>
      <c r="K22" s="91"/>
      <c r="L22" s="84"/>
      <c r="M22" s="96"/>
      <c r="N22" s="116" t="s">
        <v>159</v>
      </c>
    </row>
    <row r="23" spans="1:14" s="14" customFormat="1" ht="61.5" customHeight="1">
      <c r="A23" s="134" t="s">
        <v>126</v>
      </c>
      <c r="B23" s="85"/>
      <c r="C23" s="85"/>
      <c r="D23" s="84"/>
      <c r="E23" s="84"/>
      <c r="F23" s="84"/>
      <c r="G23" s="91">
        <v>36250</v>
      </c>
      <c r="H23" s="84"/>
      <c r="I23" s="84"/>
      <c r="J23" s="84"/>
      <c r="K23" s="91"/>
      <c r="L23" s="84"/>
      <c r="M23" s="96"/>
      <c r="N23" s="157" t="s">
        <v>174</v>
      </c>
    </row>
    <row r="24" spans="1:14" s="14" customFormat="1" ht="71.25" customHeight="1">
      <c r="A24" s="134" t="s">
        <v>127</v>
      </c>
      <c r="B24" s="85"/>
      <c r="C24" s="85"/>
      <c r="D24" s="84"/>
      <c r="E24" s="84"/>
      <c r="F24" s="84"/>
      <c r="G24" s="91">
        <v>17350</v>
      </c>
      <c r="H24" s="84"/>
      <c r="I24" s="84"/>
      <c r="J24" s="84"/>
      <c r="K24" s="91"/>
      <c r="L24" s="84"/>
      <c r="M24" s="96"/>
      <c r="N24" s="116" t="s">
        <v>160</v>
      </c>
    </row>
    <row r="25" spans="1:14" s="14" customFormat="1" ht="37.15" customHeight="1">
      <c r="A25" s="134" t="s">
        <v>128</v>
      </c>
      <c r="B25" s="85"/>
      <c r="C25" s="85"/>
      <c r="D25" s="84"/>
      <c r="E25" s="84"/>
      <c r="F25" s="84"/>
      <c r="G25" s="91">
        <v>17350</v>
      </c>
      <c r="H25" s="84"/>
      <c r="I25" s="84"/>
      <c r="J25" s="84"/>
      <c r="K25" s="91"/>
      <c r="L25" s="84"/>
      <c r="M25" s="96"/>
      <c r="N25" s="116" t="s">
        <v>137</v>
      </c>
    </row>
    <row r="26" spans="1:14" s="14" customFormat="1" ht="66.75" customHeight="1">
      <c r="A26" s="134" t="s">
        <v>129</v>
      </c>
      <c r="B26" s="85"/>
      <c r="C26" s="85"/>
      <c r="D26" s="84"/>
      <c r="E26" s="84"/>
      <c r="F26" s="84"/>
      <c r="G26" s="91">
        <v>43175</v>
      </c>
      <c r="H26" s="84"/>
      <c r="I26" s="84"/>
      <c r="J26" s="84"/>
      <c r="K26" s="91"/>
      <c r="L26" s="84"/>
      <c r="M26" s="96"/>
      <c r="N26" s="116" t="s">
        <v>161</v>
      </c>
    </row>
    <row r="27" spans="1:14" s="14" customFormat="1" ht="26.45" customHeight="1">
      <c r="A27" s="134" t="s">
        <v>130</v>
      </c>
      <c r="B27" s="85"/>
      <c r="C27" s="85"/>
      <c r="D27" s="84"/>
      <c r="E27" s="84"/>
      <c r="F27" s="84"/>
      <c r="G27" s="91">
        <v>7600</v>
      </c>
      <c r="H27" s="84"/>
      <c r="I27" s="84"/>
      <c r="J27" s="84"/>
      <c r="K27" s="91"/>
      <c r="L27" s="84"/>
      <c r="M27" s="96"/>
      <c r="N27" s="116" t="s">
        <v>138</v>
      </c>
    </row>
    <row r="28" spans="1:14" s="14" customFormat="1" ht="51.6" customHeight="1">
      <c r="A28" s="134" t="s">
        <v>131</v>
      </c>
      <c r="B28" s="85"/>
      <c r="C28" s="85"/>
      <c r="D28" s="84"/>
      <c r="E28" s="84"/>
      <c r="F28" s="84"/>
      <c r="G28" s="91">
        <v>16400</v>
      </c>
      <c r="H28" s="84"/>
      <c r="I28" s="84"/>
      <c r="J28" s="84"/>
      <c r="K28" s="91"/>
      <c r="L28" s="84"/>
      <c r="M28" s="96"/>
      <c r="N28" s="116" t="s">
        <v>139</v>
      </c>
    </row>
    <row r="29" spans="1:14" s="4" customFormat="1" ht="30.75" customHeight="1">
      <c r="A29" s="191" t="s">
        <v>1</v>
      </c>
      <c r="B29" s="172">
        <v>40990</v>
      </c>
      <c r="C29" s="172">
        <v>43646</v>
      </c>
      <c r="D29" s="68" t="s">
        <v>24</v>
      </c>
      <c r="E29" s="68">
        <v>25800</v>
      </c>
      <c r="F29" s="177"/>
      <c r="G29" s="177">
        <v>12800</v>
      </c>
      <c r="H29" s="194"/>
      <c r="I29" s="177">
        <v>17358.274109999998</v>
      </c>
      <c r="J29" s="195"/>
      <c r="K29" s="177">
        <f>108139.68242+I29</f>
        <v>125497.95653</v>
      </c>
      <c r="L29" s="177"/>
      <c r="M29" s="202" t="s">
        <v>42</v>
      </c>
      <c r="N29" s="166" t="s">
        <v>163</v>
      </c>
    </row>
    <row r="30" spans="1:14" s="4" customFormat="1" ht="28.15" customHeight="1">
      <c r="A30" s="191"/>
      <c r="B30" s="172"/>
      <c r="C30" s="172"/>
      <c r="D30" s="68" t="s">
        <v>25</v>
      </c>
      <c r="E30" s="68">
        <v>30000</v>
      </c>
      <c r="F30" s="177"/>
      <c r="G30" s="177"/>
      <c r="H30" s="194"/>
      <c r="I30" s="177"/>
      <c r="J30" s="195"/>
      <c r="K30" s="177"/>
      <c r="L30" s="177"/>
      <c r="M30" s="202"/>
      <c r="N30" s="167"/>
    </row>
    <row r="31" spans="1:14" s="4" customFormat="1" ht="120.75" customHeight="1">
      <c r="A31" s="134" t="s">
        <v>45</v>
      </c>
      <c r="B31" s="67">
        <v>41829</v>
      </c>
      <c r="C31" s="67">
        <v>44012</v>
      </c>
      <c r="D31" s="68" t="s">
        <v>25</v>
      </c>
      <c r="E31" s="68">
        <v>75000</v>
      </c>
      <c r="F31" s="68"/>
      <c r="G31" s="91">
        <v>20000</v>
      </c>
      <c r="H31" s="77"/>
      <c r="I31" s="150">
        <v>14333.60333</v>
      </c>
      <c r="J31" s="150"/>
      <c r="K31" s="150">
        <f>89973.54979+I31</f>
        <v>104307.15312</v>
      </c>
      <c r="L31" s="150"/>
      <c r="M31" s="70" t="s">
        <v>42</v>
      </c>
      <c r="N31" s="156" t="s">
        <v>175</v>
      </c>
    </row>
    <row r="32" spans="1:14" s="4" customFormat="1" ht="130.9" customHeight="1">
      <c r="A32" s="111" t="s">
        <v>63</v>
      </c>
      <c r="B32" s="67">
        <v>42457</v>
      </c>
      <c r="C32" s="67">
        <v>44561</v>
      </c>
      <c r="D32" s="68" t="s">
        <v>25</v>
      </c>
      <c r="E32" s="68">
        <v>40000</v>
      </c>
      <c r="F32" s="68"/>
      <c r="G32" s="91">
        <v>35000</v>
      </c>
      <c r="H32" s="77"/>
      <c r="I32" s="150">
        <v>18504.309710000001</v>
      </c>
      <c r="J32" s="150"/>
      <c r="K32" s="150">
        <f>4739.58238+I32</f>
        <v>23243.892090000001</v>
      </c>
      <c r="L32" s="150"/>
      <c r="M32" s="70"/>
      <c r="N32" s="74" t="s">
        <v>164</v>
      </c>
    </row>
    <row r="33" spans="1:16" s="4" customFormat="1" ht="84.75" customHeight="1">
      <c r="A33" s="111" t="s">
        <v>120</v>
      </c>
      <c r="B33" s="108" t="s">
        <v>121</v>
      </c>
      <c r="C33" s="108" t="s">
        <v>122</v>
      </c>
      <c r="D33" s="107" t="s">
        <v>25</v>
      </c>
      <c r="E33" s="107">
        <v>80000</v>
      </c>
      <c r="F33" s="107"/>
      <c r="G33" s="107">
        <v>35500</v>
      </c>
      <c r="H33" s="107"/>
      <c r="I33" s="151">
        <v>1245.4288899999999</v>
      </c>
      <c r="J33" s="151"/>
      <c r="K33" s="151">
        <f>6863.7024+I33</f>
        <v>8109.1312900000003</v>
      </c>
      <c r="L33" s="151"/>
      <c r="M33" s="79"/>
      <c r="N33" s="112" t="s">
        <v>176</v>
      </c>
    </row>
    <row r="34" spans="1:16" s="4" customFormat="1" ht="61.15" customHeight="1">
      <c r="A34" s="111" t="s">
        <v>64</v>
      </c>
      <c r="B34" s="67">
        <v>42752</v>
      </c>
      <c r="C34" s="67">
        <v>44196</v>
      </c>
      <c r="D34" s="68" t="s">
        <v>67</v>
      </c>
      <c r="E34" s="68">
        <v>8000</v>
      </c>
      <c r="F34" s="68"/>
      <c r="G34" s="91">
        <v>23700</v>
      </c>
      <c r="H34" s="77"/>
      <c r="I34" s="150">
        <v>549.09028999999998</v>
      </c>
      <c r="J34" s="150"/>
      <c r="K34" s="150">
        <f>49.13093+I34</f>
        <v>598.22122000000002</v>
      </c>
      <c r="L34" s="150"/>
      <c r="M34" s="70"/>
      <c r="N34" s="156" t="s">
        <v>166</v>
      </c>
    </row>
    <row r="35" spans="1:16" s="4" customFormat="1" ht="68.25" customHeight="1" thickBot="1">
      <c r="A35" s="135" t="s">
        <v>65</v>
      </c>
      <c r="B35" s="37">
        <v>42734</v>
      </c>
      <c r="C35" s="37">
        <v>43830</v>
      </c>
      <c r="D35" s="38" t="s">
        <v>31</v>
      </c>
      <c r="E35" s="38">
        <v>6000</v>
      </c>
      <c r="F35" s="38"/>
      <c r="G35" s="38">
        <v>4200</v>
      </c>
      <c r="H35" s="88"/>
      <c r="I35" s="38"/>
      <c r="J35" s="38"/>
      <c r="K35" s="38">
        <f>137.055+I35</f>
        <v>137.05500000000001</v>
      </c>
      <c r="L35" s="38"/>
      <c r="M35" s="39"/>
      <c r="N35" s="82" t="s">
        <v>156</v>
      </c>
    </row>
    <row r="36" spans="1:16" s="8" customFormat="1" ht="30" customHeight="1" thickBot="1">
      <c r="A36" s="207" t="s">
        <v>12</v>
      </c>
      <c r="B36" s="208"/>
      <c r="C36" s="208"/>
      <c r="D36" s="208"/>
      <c r="E36" s="208"/>
      <c r="F36" s="209"/>
      <c r="G36" s="40">
        <f>G37+G38+G39+G40+G42+G43+G45+G46+G48+G49+G50+G47</f>
        <v>151150</v>
      </c>
      <c r="H36" s="100">
        <f t="shared" ref="H36:L36" si="1">H37+H38+H39+H40+H42+H43+H45+H46+H48+H49+H50+H47</f>
        <v>3450</v>
      </c>
      <c r="I36" s="40">
        <f>I37+I38+I39+I40+I42+I43+I45+I46+I47+I48+I49++I50</f>
        <v>104862.42599999999</v>
      </c>
      <c r="J36" s="40">
        <f t="shared" si="1"/>
        <v>4508.9957100000001</v>
      </c>
      <c r="K36" s="40">
        <f t="shared" si="1"/>
        <v>742782.01114999992</v>
      </c>
      <c r="L36" s="40">
        <f t="shared" si="1"/>
        <v>13829.26641</v>
      </c>
      <c r="M36" s="41"/>
      <c r="N36" s="124"/>
      <c r="P36" s="11"/>
    </row>
    <row r="37" spans="1:16" ht="62.25" customHeight="1">
      <c r="A37" s="136" t="s">
        <v>50</v>
      </c>
      <c r="B37" s="42">
        <v>41869</v>
      </c>
      <c r="C37" s="42">
        <v>43646</v>
      </c>
      <c r="D37" s="43" t="s">
        <v>25</v>
      </c>
      <c r="E37" s="43">
        <v>30000</v>
      </c>
      <c r="F37" s="43">
        <v>5000</v>
      </c>
      <c r="G37" s="43">
        <v>6400</v>
      </c>
      <c r="H37" s="86">
        <v>2200</v>
      </c>
      <c r="I37" s="43">
        <v>6540.3772099999996</v>
      </c>
      <c r="J37" s="86">
        <v>3341.9113200000002</v>
      </c>
      <c r="K37" s="43">
        <f>35451.42018+I37</f>
        <v>41991.79739</v>
      </c>
      <c r="L37" s="43">
        <f>925.44113+J37</f>
        <v>4267.3524500000003</v>
      </c>
      <c r="M37" s="44"/>
      <c r="N37" s="125" t="s">
        <v>116</v>
      </c>
    </row>
    <row r="38" spans="1:16" ht="80.25" customHeight="1">
      <c r="A38" s="137" t="s">
        <v>6</v>
      </c>
      <c r="B38" s="72">
        <v>40227</v>
      </c>
      <c r="C38" s="45">
        <v>43465</v>
      </c>
      <c r="D38" s="71" t="s">
        <v>31</v>
      </c>
      <c r="E38" s="71">
        <v>3000</v>
      </c>
      <c r="F38" s="71"/>
      <c r="G38" s="92">
        <v>4000</v>
      </c>
      <c r="H38" s="87"/>
      <c r="I38" s="71"/>
      <c r="J38" s="71"/>
      <c r="K38" s="92">
        <f>74.757+I38</f>
        <v>74.757000000000005</v>
      </c>
      <c r="L38" s="71"/>
      <c r="M38" s="73" t="s">
        <v>39</v>
      </c>
      <c r="N38" s="126" t="s">
        <v>97</v>
      </c>
    </row>
    <row r="39" spans="1:16" ht="123" customHeight="1">
      <c r="A39" s="137" t="s">
        <v>58</v>
      </c>
      <c r="B39" s="72">
        <v>41621</v>
      </c>
      <c r="C39" s="72">
        <v>43465</v>
      </c>
      <c r="D39" s="71" t="s">
        <v>31</v>
      </c>
      <c r="E39" s="71">
        <v>20000</v>
      </c>
      <c r="F39" s="71">
        <v>2000</v>
      </c>
      <c r="G39" s="92">
        <v>7000</v>
      </c>
      <c r="H39" s="87">
        <v>1000</v>
      </c>
      <c r="I39" s="71">
        <v>286.96265</v>
      </c>
      <c r="J39" s="71">
        <v>1167.08439</v>
      </c>
      <c r="K39" s="46">
        <f>1323.70033+I39</f>
        <v>1610.6629799999998</v>
      </c>
      <c r="L39" s="71">
        <f>3114.43896+J39</f>
        <v>4281.5233499999995</v>
      </c>
      <c r="M39" s="73" t="s">
        <v>46</v>
      </c>
      <c r="N39" s="126" t="s">
        <v>152</v>
      </c>
    </row>
    <row r="40" spans="1:16" ht="86.45" customHeight="1">
      <c r="A40" s="222" t="s">
        <v>22</v>
      </c>
      <c r="B40" s="199">
        <v>40350</v>
      </c>
      <c r="C40" s="199">
        <v>44196</v>
      </c>
      <c r="D40" s="71" t="s">
        <v>24</v>
      </c>
      <c r="E40" s="71">
        <f>57986+10639</f>
        <v>68625</v>
      </c>
      <c r="F40" s="200"/>
      <c r="G40" s="200">
        <v>59000</v>
      </c>
      <c r="H40" s="215"/>
      <c r="I40" s="200">
        <v>34932.9856</v>
      </c>
      <c r="J40" s="200"/>
      <c r="K40" s="200">
        <f>310757.52821+I40</f>
        <v>345690.51381000003</v>
      </c>
      <c r="L40" s="200"/>
      <c r="M40" s="214" t="s">
        <v>40</v>
      </c>
      <c r="N40" s="210" t="s">
        <v>153</v>
      </c>
    </row>
    <row r="41" spans="1:16" ht="95.25" customHeight="1">
      <c r="A41" s="222"/>
      <c r="B41" s="199"/>
      <c r="C41" s="199"/>
      <c r="D41" s="71" t="s">
        <v>25</v>
      </c>
      <c r="E41" s="71">
        <f>48886+73000+20000</f>
        <v>141886</v>
      </c>
      <c r="F41" s="200"/>
      <c r="G41" s="200"/>
      <c r="H41" s="215"/>
      <c r="I41" s="200"/>
      <c r="J41" s="200"/>
      <c r="K41" s="200"/>
      <c r="L41" s="200"/>
      <c r="M41" s="214"/>
      <c r="N41" s="210"/>
    </row>
    <row r="42" spans="1:16" ht="136.5" customHeight="1">
      <c r="A42" s="138" t="s">
        <v>2</v>
      </c>
      <c r="B42" s="72">
        <v>40996</v>
      </c>
      <c r="C42" s="89">
        <v>43403</v>
      </c>
      <c r="D42" s="71" t="s">
        <v>25</v>
      </c>
      <c r="E42" s="71">
        <v>60000</v>
      </c>
      <c r="F42" s="71"/>
      <c r="G42" s="92">
        <v>800</v>
      </c>
      <c r="H42" s="87"/>
      <c r="I42" s="71">
        <v>1387.1566700000001</v>
      </c>
      <c r="J42" s="47"/>
      <c r="K42" s="92">
        <f>101494.19775+I42</f>
        <v>102881.35442</v>
      </c>
      <c r="L42" s="71"/>
      <c r="M42" s="73" t="s">
        <v>40</v>
      </c>
      <c r="N42" s="126" t="s">
        <v>154</v>
      </c>
    </row>
    <row r="43" spans="1:16" ht="45.6" customHeight="1">
      <c r="A43" s="198" t="s">
        <v>3</v>
      </c>
      <c r="B43" s="199">
        <v>41222</v>
      </c>
      <c r="C43" s="199">
        <v>43829</v>
      </c>
      <c r="D43" s="71" t="s">
        <v>24</v>
      </c>
      <c r="E43" s="71">
        <v>19800</v>
      </c>
      <c r="F43" s="71"/>
      <c r="G43" s="200">
        <v>10000</v>
      </c>
      <c r="H43" s="215"/>
      <c r="I43" s="200">
        <v>3810.9464600000001</v>
      </c>
      <c r="J43" s="200"/>
      <c r="K43" s="200">
        <f>53116.32248+I43</f>
        <v>56927.268940000002</v>
      </c>
      <c r="L43" s="200"/>
      <c r="M43" s="73" t="s">
        <v>40</v>
      </c>
      <c r="N43" s="210" t="s">
        <v>94</v>
      </c>
    </row>
    <row r="44" spans="1:16" ht="50.25" customHeight="1">
      <c r="A44" s="198"/>
      <c r="B44" s="199"/>
      <c r="C44" s="199"/>
      <c r="D44" s="71" t="s">
        <v>25</v>
      </c>
      <c r="E44" s="71">
        <v>9000</v>
      </c>
      <c r="F44" s="71"/>
      <c r="G44" s="200"/>
      <c r="H44" s="215"/>
      <c r="I44" s="200"/>
      <c r="J44" s="200"/>
      <c r="K44" s="200"/>
      <c r="L44" s="200"/>
      <c r="M44" s="73"/>
      <c r="N44" s="210"/>
    </row>
    <row r="45" spans="1:16" ht="70.5" customHeight="1">
      <c r="A45" s="137" t="s">
        <v>55</v>
      </c>
      <c r="B45" s="72">
        <v>42223</v>
      </c>
      <c r="C45" s="72">
        <v>43830</v>
      </c>
      <c r="D45" s="71" t="s">
        <v>25</v>
      </c>
      <c r="E45" s="71">
        <v>60000</v>
      </c>
      <c r="F45" s="71"/>
      <c r="G45" s="92">
        <v>24000</v>
      </c>
      <c r="H45" s="87"/>
      <c r="I45" s="71">
        <v>12718.76899</v>
      </c>
      <c r="J45" s="71"/>
      <c r="K45" s="92">
        <f>14498.42158+I45</f>
        <v>27217.190569999999</v>
      </c>
      <c r="L45" s="71"/>
      <c r="M45" s="73"/>
      <c r="N45" s="126" t="s">
        <v>99</v>
      </c>
    </row>
    <row r="46" spans="1:16" s="10" customFormat="1" ht="57" customHeight="1">
      <c r="A46" s="137" t="s">
        <v>56</v>
      </c>
      <c r="B46" s="72">
        <v>42136</v>
      </c>
      <c r="C46" s="72">
        <v>43232</v>
      </c>
      <c r="D46" s="71" t="s">
        <v>31</v>
      </c>
      <c r="E46" s="71">
        <v>4300</v>
      </c>
      <c r="F46" s="71">
        <v>1843</v>
      </c>
      <c r="G46" s="92">
        <v>550</v>
      </c>
      <c r="H46" s="87">
        <v>250</v>
      </c>
      <c r="I46" s="71"/>
      <c r="J46" s="71"/>
      <c r="K46" s="92">
        <f>119.7894+I46</f>
        <v>119.7894</v>
      </c>
      <c r="L46" s="71"/>
      <c r="M46" s="73"/>
      <c r="N46" s="126" t="s">
        <v>100</v>
      </c>
    </row>
    <row r="47" spans="1:16" s="10" customFormat="1" ht="69" customHeight="1">
      <c r="A47" s="137" t="s">
        <v>85</v>
      </c>
      <c r="B47" s="72">
        <v>42563</v>
      </c>
      <c r="C47" s="72">
        <v>43036</v>
      </c>
      <c r="D47" s="71" t="s">
        <v>31</v>
      </c>
      <c r="E47" s="71">
        <v>10000</v>
      </c>
      <c r="F47" s="71">
        <v>2000</v>
      </c>
      <c r="G47" s="92"/>
      <c r="H47" s="87"/>
      <c r="I47" s="71"/>
      <c r="J47" s="71"/>
      <c r="K47" s="92">
        <f>12332.76308+I47</f>
        <v>12332.763080000001</v>
      </c>
      <c r="L47" s="48">
        <f>5280.39061+J47</f>
        <v>5280.3906100000004</v>
      </c>
      <c r="M47" s="73"/>
      <c r="N47" s="126" t="s">
        <v>113</v>
      </c>
    </row>
    <row r="48" spans="1:16" s="4" customFormat="1" ht="114.75" customHeight="1">
      <c r="A48" s="137" t="s">
        <v>51</v>
      </c>
      <c r="B48" s="72">
        <v>41884</v>
      </c>
      <c r="C48" s="89">
        <v>43465</v>
      </c>
      <c r="D48" s="71" t="s">
        <v>31</v>
      </c>
      <c r="E48" s="71">
        <v>13200</v>
      </c>
      <c r="F48" s="71"/>
      <c r="G48" s="92">
        <v>1000</v>
      </c>
      <c r="H48" s="87"/>
      <c r="I48" s="71"/>
      <c r="J48" s="47"/>
      <c r="K48" s="92">
        <f>30507.38324+I48</f>
        <v>30507.383239999999</v>
      </c>
      <c r="L48" s="71"/>
      <c r="M48" s="73" t="s">
        <v>41</v>
      </c>
      <c r="N48" s="126" t="s">
        <v>98</v>
      </c>
    </row>
    <row r="49" spans="1:15" s="4" customFormat="1" ht="100.5" customHeight="1">
      <c r="A49" s="137" t="s">
        <v>61</v>
      </c>
      <c r="B49" s="72">
        <v>42411</v>
      </c>
      <c r="C49" s="72">
        <v>44238</v>
      </c>
      <c r="D49" s="71" t="s">
        <v>31</v>
      </c>
      <c r="E49" s="71">
        <v>100000</v>
      </c>
      <c r="F49" s="71"/>
      <c r="G49" s="92">
        <v>37600</v>
      </c>
      <c r="H49" s="87"/>
      <c r="I49" s="71">
        <v>45185.228419999999</v>
      </c>
      <c r="J49" s="71"/>
      <c r="K49" s="92">
        <f>78243.3019+I49</f>
        <v>123428.53032000001</v>
      </c>
      <c r="L49" s="71"/>
      <c r="M49" s="73"/>
      <c r="N49" s="126" t="s">
        <v>95</v>
      </c>
    </row>
    <row r="50" spans="1:15" s="4" customFormat="1" ht="59.25" customHeight="1" thickBot="1">
      <c r="A50" s="139" t="s">
        <v>68</v>
      </c>
      <c r="B50" s="49">
        <v>42713</v>
      </c>
      <c r="C50" s="49">
        <v>44561</v>
      </c>
      <c r="D50" s="50" t="s">
        <v>31</v>
      </c>
      <c r="E50" s="50">
        <v>100000</v>
      </c>
      <c r="F50" s="50"/>
      <c r="G50" s="50">
        <v>800</v>
      </c>
      <c r="H50" s="101"/>
      <c r="I50" s="50"/>
      <c r="J50" s="50"/>
      <c r="K50" s="51">
        <v>0</v>
      </c>
      <c r="L50" s="50"/>
      <c r="M50" s="52"/>
      <c r="N50" s="127" t="s">
        <v>101</v>
      </c>
    </row>
    <row r="51" spans="1:15" s="8" customFormat="1" ht="30" customHeight="1" thickBot="1">
      <c r="A51" s="207" t="s">
        <v>15</v>
      </c>
      <c r="B51" s="208"/>
      <c r="C51" s="208"/>
      <c r="D51" s="208"/>
      <c r="E51" s="208"/>
      <c r="F51" s="209"/>
      <c r="G51" s="40">
        <f>G52+G53+G56+G58+G59+G57+G55</f>
        <v>154700</v>
      </c>
      <c r="H51" s="100">
        <f t="shared" ref="H51:J51" si="2">H52+H53+H56+H58+H59+H57</f>
        <v>31065</v>
      </c>
      <c r="I51" s="40">
        <f>I52+I53+I56+I58+I59+I57+I55</f>
        <v>128595.33268000001</v>
      </c>
      <c r="J51" s="40">
        <f t="shared" si="2"/>
        <v>20200.164969999998</v>
      </c>
      <c r="K51" s="40">
        <f>K52+K53+K56+K58+K59+K57+K55</f>
        <v>626187.36140399997</v>
      </c>
      <c r="L51" s="40">
        <f>L52+L53+L56+L58+L59+L57+L55</f>
        <v>96807.738390000013</v>
      </c>
      <c r="M51" s="41"/>
      <c r="N51" s="124"/>
      <c r="O51" s="12"/>
    </row>
    <row r="52" spans="1:15" ht="42" customHeight="1">
      <c r="A52" s="140" t="s">
        <v>23</v>
      </c>
      <c r="B52" s="53">
        <v>39626</v>
      </c>
      <c r="C52" s="53">
        <v>43373</v>
      </c>
      <c r="D52" s="32" t="s">
        <v>31</v>
      </c>
      <c r="E52" s="32">
        <v>3700</v>
      </c>
      <c r="F52" s="32">
        <v>1814</v>
      </c>
      <c r="G52" s="90">
        <v>2500</v>
      </c>
      <c r="H52" s="102">
        <v>500</v>
      </c>
      <c r="I52" s="32"/>
      <c r="J52" s="54"/>
      <c r="K52" s="90">
        <f>6580.461404+I52</f>
        <v>6580.4614039999997</v>
      </c>
      <c r="L52" s="32">
        <f>3649.68102+J52</f>
        <v>3649.68102</v>
      </c>
      <c r="M52" s="55" t="s">
        <v>40</v>
      </c>
      <c r="N52" s="128" t="s">
        <v>115</v>
      </c>
    </row>
    <row r="53" spans="1:15" ht="266.45" customHeight="1">
      <c r="A53" s="217" t="s">
        <v>4</v>
      </c>
      <c r="B53" s="172">
        <v>40673</v>
      </c>
      <c r="C53" s="172">
        <v>43738</v>
      </c>
      <c r="D53" s="33" t="s">
        <v>24</v>
      </c>
      <c r="E53" s="33">
        <f>51343+25047+64205+23005</f>
        <v>163600</v>
      </c>
      <c r="F53" s="177"/>
      <c r="G53" s="177">
        <v>121000</v>
      </c>
      <c r="H53" s="194"/>
      <c r="I53" s="177">
        <v>93843.170620000004</v>
      </c>
      <c r="J53" s="195"/>
      <c r="K53" s="177">
        <f>360997.64518+I53</f>
        <v>454840.81579999998</v>
      </c>
      <c r="L53" s="177"/>
      <c r="M53" s="34" t="s">
        <v>7</v>
      </c>
      <c r="N53" s="225" t="s">
        <v>168</v>
      </c>
    </row>
    <row r="54" spans="1:15" ht="266.25" customHeight="1">
      <c r="A54" s="217"/>
      <c r="B54" s="172"/>
      <c r="C54" s="172"/>
      <c r="D54" s="33" t="s">
        <v>25</v>
      </c>
      <c r="E54" s="33">
        <f>108000+43000+99000</f>
        <v>250000</v>
      </c>
      <c r="F54" s="177"/>
      <c r="G54" s="177"/>
      <c r="H54" s="194"/>
      <c r="I54" s="177"/>
      <c r="J54" s="195"/>
      <c r="K54" s="177"/>
      <c r="L54" s="177"/>
      <c r="M54" s="34"/>
      <c r="N54" s="167"/>
    </row>
    <row r="55" spans="1:15" s="14" customFormat="1" ht="92.25" customHeight="1">
      <c r="A55" s="75" t="s">
        <v>132</v>
      </c>
      <c r="B55" s="110" t="s">
        <v>133</v>
      </c>
      <c r="C55" s="110" t="s">
        <v>134</v>
      </c>
      <c r="D55" s="115" t="s">
        <v>31</v>
      </c>
      <c r="E55" s="109">
        <v>100</v>
      </c>
      <c r="F55" s="84"/>
      <c r="G55" s="91">
        <v>2400</v>
      </c>
      <c r="H55" s="77"/>
      <c r="I55" s="153">
        <v>35.078020000000002</v>
      </c>
      <c r="J55" s="95"/>
      <c r="K55" s="91">
        <f>I55</f>
        <v>35.078020000000002</v>
      </c>
      <c r="L55" s="84"/>
      <c r="M55" s="96"/>
      <c r="N55" s="117" t="s">
        <v>141</v>
      </c>
    </row>
    <row r="56" spans="1:15" ht="198" customHeight="1">
      <c r="A56" s="144" t="s">
        <v>69</v>
      </c>
      <c r="B56" s="20">
        <v>40773</v>
      </c>
      <c r="C56" s="20">
        <v>43830</v>
      </c>
      <c r="D56" s="56" t="s">
        <v>31</v>
      </c>
      <c r="E56" s="56">
        <f>2988.339+4000+20000</f>
        <v>26988.339</v>
      </c>
      <c r="F56" s="56">
        <f>4500+6728.536+9000+4000+7000</f>
        <v>31228.536</v>
      </c>
      <c r="G56" s="91">
        <v>10000</v>
      </c>
      <c r="H56" s="77">
        <v>7015</v>
      </c>
      <c r="I56" s="115">
        <v>9549.1818000000003</v>
      </c>
      <c r="J56" s="158">
        <v>9073.3346899999997</v>
      </c>
      <c r="K56" s="91">
        <f>36651.583+I56</f>
        <v>46200.764799999997</v>
      </c>
      <c r="L56" s="56">
        <f>48434.17185+J56</f>
        <v>57507.506540000002</v>
      </c>
      <c r="M56" s="33" t="s">
        <v>8</v>
      </c>
      <c r="N56" s="74" t="s">
        <v>86</v>
      </c>
    </row>
    <row r="57" spans="1:15" ht="45" customHeight="1">
      <c r="A57" s="144" t="s">
        <v>79</v>
      </c>
      <c r="B57" s="20">
        <v>42360</v>
      </c>
      <c r="C57" s="20">
        <v>44012</v>
      </c>
      <c r="D57" s="33" t="s">
        <v>31</v>
      </c>
      <c r="E57" s="33">
        <v>30000</v>
      </c>
      <c r="F57" s="33">
        <v>2000</v>
      </c>
      <c r="G57" s="91">
        <v>10100</v>
      </c>
      <c r="H57" s="77">
        <v>9300</v>
      </c>
      <c r="I57" s="33">
        <v>14207.54243</v>
      </c>
      <c r="J57" s="147">
        <v>916.81931999999995</v>
      </c>
      <c r="K57" s="91">
        <f>19174.80166+I57</f>
        <v>33382.344089999999</v>
      </c>
      <c r="L57" s="33">
        <f>2151.41058+J57</f>
        <v>3068.2299000000003</v>
      </c>
      <c r="M57" s="33"/>
      <c r="N57" s="74" t="s">
        <v>102</v>
      </c>
    </row>
    <row r="58" spans="1:15" ht="35.1" customHeight="1">
      <c r="A58" s="75" t="s">
        <v>87</v>
      </c>
      <c r="B58" s="20">
        <v>41506</v>
      </c>
      <c r="C58" s="36">
        <v>43332</v>
      </c>
      <c r="D58" s="33" t="s">
        <v>31</v>
      </c>
      <c r="E58" s="33">
        <v>40000</v>
      </c>
      <c r="F58" s="33">
        <v>8000</v>
      </c>
      <c r="G58" s="91">
        <v>8700</v>
      </c>
      <c r="H58" s="77">
        <v>1900</v>
      </c>
      <c r="I58" s="33">
        <v>10960.35981</v>
      </c>
      <c r="J58" s="56">
        <v>2243.52441</v>
      </c>
      <c r="K58" s="91">
        <f>74187.53748+I58</f>
        <v>85147.897289999994</v>
      </c>
      <c r="L58" s="33">
        <f>15195.11472+J58</f>
        <v>17438.63913</v>
      </c>
      <c r="M58" s="34" t="s">
        <v>40</v>
      </c>
      <c r="N58" s="74" t="s">
        <v>103</v>
      </c>
    </row>
    <row r="59" spans="1:15" ht="41.45" customHeight="1" thickBot="1">
      <c r="A59" s="141" t="s">
        <v>36</v>
      </c>
      <c r="B59" s="37">
        <v>41480</v>
      </c>
      <c r="C59" s="37">
        <v>43889</v>
      </c>
      <c r="D59" s="38" t="s">
        <v>25</v>
      </c>
      <c r="E59" s="38"/>
      <c r="F59" s="38">
        <v>10052.155000000001</v>
      </c>
      <c r="G59" s="38"/>
      <c r="H59" s="88">
        <v>12350</v>
      </c>
      <c r="I59" s="38"/>
      <c r="J59" s="57">
        <v>7966.4865499999996</v>
      </c>
      <c r="K59" s="38"/>
      <c r="L59" s="38">
        <f>7177.19525+J59</f>
        <v>15143.681799999998</v>
      </c>
      <c r="M59" s="39" t="s">
        <v>40</v>
      </c>
      <c r="N59" s="82" t="s">
        <v>117</v>
      </c>
    </row>
    <row r="60" spans="1:15" s="8" customFormat="1" ht="30" customHeight="1" thickBot="1">
      <c r="A60" s="207" t="s">
        <v>11</v>
      </c>
      <c r="B60" s="208"/>
      <c r="C60" s="208"/>
      <c r="D60" s="208"/>
      <c r="E60" s="208"/>
      <c r="F60" s="209"/>
      <c r="G60" s="40">
        <f>G61+G62+G66+G63+G65+G64+G67+G68+G69+G70</f>
        <v>62800</v>
      </c>
      <c r="H60" s="100">
        <f t="shared" ref="H60:L60" si="3">H61+H62+H66+H63+H65+H64+H67+H68+H69+H70</f>
        <v>9450</v>
      </c>
      <c r="I60" s="40">
        <f t="shared" si="3"/>
        <v>30910.565729999998</v>
      </c>
      <c r="J60" s="40">
        <f t="shared" si="3"/>
        <v>0</v>
      </c>
      <c r="K60" s="40">
        <f>K61+K62+K66+K63+K65+K64+K67+K68+K69+K70</f>
        <v>254406.62323499998</v>
      </c>
      <c r="L60" s="40">
        <f t="shared" si="3"/>
        <v>20950.680079999998</v>
      </c>
      <c r="M60" s="41"/>
      <c r="N60" s="124"/>
    </row>
    <row r="61" spans="1:15" ht="126.75" customHeight="1">
      <c r="A61" s="140" t="s">
        <v>143</v>
      </c>
      <c r="B61" s="120">
        <v>43105</v>
      </c>
      <c r="C61" s="120" t="s">
        <v>142</v>
      </c>
      <c r="D61" s="118" t="s">
        <v>31</v>
      </c>
      <c r="E61" s="118">
        <v>28000</v>
      </c>
      <c r="F61" s="118">
        <v>7000</v>
      </c>
      <c r="G61" s="90">
        <v>12150</v>
      </c>
      <c r="H61" s="102">
        <v>9450</v>
      </c>
      <c r="I61" s="149">
        <v>2588.2777099999998</v>
      </c>
      <c r="J61" s="94"/>
      <c r="K61" s="90">
        <f>I61</f>
        <v>2588.2777099999998</v>
      </c>
      <c r="L61" s="90"/>
      <c r="M61" s="55" t="s">
        <v>9</v>
      </c>
      <c r="N61" s="128" t="s">
        <v>146</v>
      </c>
    </row>
    <row r="62" spans="1:15" ht="54.6" customHeight="1">
      <c r="A62" s="142" t="s">
        <v>88</v>
      </c>
      <c r="B62" s="218">
        <v>41572</v>
      </c>
      <c r="C62" s="218">
        <v>43463</v>
      </c>
      <c r="D62" s="162" t="s">
        <v>31</v>
      </c>
      <c r="E62" s="162">
        <f>25200+35000</f>
        <v>60200</v>
      </c>
      <c r="F62" s="33">
        <v>8000</v>
      </c>
      <c r="G62" s="91"/>
      <c r="H62" s="77"/>
      <c r="I62" s="33">
        <v>4076.3249999999998</v>
      </c>
      <c r="J62" s="33"/>
      <c r="K62" s="91">
        <f>88336.336955+I62</f>
        <v>92412.661955000003</v>
      </c>
      <c r="L62" s="33">
        <f>20950.68008+J62</f>
        <v>20950.680079999998</v>
      </c>
      <c r="M62" s="34" t="s">
        <v>33</v>
      </c>
      <c r="N62" s="213" t="s">
        <v>89</v>
      </c>
    </row>
    <row r="63" spans="1:15" s="10" customFormat="1" ht="50.1" customHeight="1">
      <c r="A63" s="142" t="s">
        <v>90</v>
      </c>
      <c r="B63" s="219"/>
      <c r="C63" s="219"/>
      <c r="D63" s="221"/>
      <c r="E63" s="221"/>
      <c r="F63" s="33"/>
      <c r="G63" s="91">
        <v>25000</v>
      </c>
      <c r="H63" s="77"/>
      <c r="I63" s="33">
        <v>12155.41286</v>
      </c>
      <c r="J63" s="33"/>
      <c r="K63" s="91">
        <f>33064.47741+I63</f>
        <v>45219.890270000004</v>
      </c>
      <c r="L63" s="33"/>
      <c r="M63" s="34"/>
      <c r="N63" s="213"/>
    </row>
    <row r="64" spans="1:15" ht="50.25" customHeight="1">
      <c r="A64" s="75" t="s">
        <v>74</v>
      </c>
      <c r="B64" s="220"/>
      <c r="C64" s="220"/>
      <c r="D64" s="163"/>
      <c r="E64" s="163"/>
      <c r="F64" s="33"/>
      <c r="G64" s="91">
        <v>7000</v>
      </c>
      <c r="H64" s="77"/>
      <c r="I64" s="33"/>
      <c r="J64" s="56"/>
      <c r="K64" s="91">
        <f>5120.67471+I64</f>
        <v>5120.6747100000002</v>
      </c>
      <c r="L64" s="33"/>
      <c r="M64" s="34"/>
      <c r="N64" s="119" t="s">
        <v>104</v>
      </c>
    </row>
    <row r="65" spans="1:14" ht="73.5" customHeight="1">
      <c r="A65" s="75" t="s">
        <v>73</v>
      </c>
      <c r="B65" s="20">
        <v>42838</v>
      </c>
      <c r="C65" s="36">
        <v>44742</v>
      </c>
      <c r="D65" s="83" t="s">
        <v>31</v>
      </c>
      <c r="E65" s="81">
        <v>125000</v>
      </c>
      <c r="F65" s="33"/>
      <c r="G65" s="91"/>
      <c r="H65" s="77"/>
      <c r="I65" s="33"/>
      <c r="J65" s="56"/>
      <c r="K65" s="91">
        <f>I65</f>
        <v>0</v>
      </c>
      <c r="L65" s="33"/>
      <c r="M65" s="34"/>
      <c r="N65" s="119" t="s">
        <v>82</v>
      </c>
    </row>
    <row r="66" spans="1:14" ht="51.75" customHeight="1">
      <c r="A66" s="75" t="s">
        <v>62</v>
      </c>
      <c r="B66" s="172">
        <v>41885</v>
      </c>
      <c r="C66" s="172">
        <v>43555</v>
      </c>
      <c r="D66" s="33" t="s">
        <v>25</v>
      </c>
      <c r="E66" s="177">
        <v>60000</v>
      </c>
      <c r="F66" s="33"/>
      <c r="G66" s="91">
        <v>18100</v>
      </c>
      <c r="H66" s="77"/>
      <c r="I66" s="33">
        <v>12090.550160000001</v>
      </c>
      <c r="J66" s="56"/>
      <c r="K66" s="91">
        <f>96542.64979+I66</f>
        <v>108633.19994999999</v>
      </c>
      <c r="L66" s="33"/>
      <c r="M66" s="34"/>
      <c r="N66" s="74" t="s">
        <v>105</v>
      </c>
    </row>
    <row r="67" spans="1:14" ht="50.25" customHeight="1" thickBot="1">
      <c r="A67" s="75" t="s">
        <v>75</v>
      </c>
      <c r="B67" s="172"/>
      <c r="C67" s="172"/>
      <c r="D67" s="33" t="s">
        <v>25</v>
      </c>
      <c r="E67" s="224"/>
      <c r="F67" s="33"/>
      <c r="G67" s="91">
        <v>550</v>
      </c>
      <c r="H67" s="77"/>
      <c r="I67" s="33"/>
      <c r="J67" s="56"/>
      <c r="K67" s="91">
        <f>431.91864+I67</f>
        <v>431.91863999999998</v>
      </c>
      <c r="L67" s="33"/>
      <c r="M67" s="34"/>
      <c r="N67" s="74" t="s">
        <v>106</v>
      </c>
    </row>
    <row r="68" spans="1:14" ht="146.25" hidden="1" customHeight="1">
      <c r="A68" s="75" t="s">
        <v>76</v>
      </c>
      <c r="B68" s="20"/>
      <c r="C68" s="20"/>
      <c r="D68" s="33"/>
      <c r="E68" s="33"/>
      <c r="F68" s="33"/>
      <c r="G68" s="91"/>
      <c r="H68" s="77"/>
      <c r="I68" s="33"/>
      <c r="J68" s="56"/>
      <c r="K68" s="91"/>
      <c r="L68" s="33"/>
      <c r="M68" s="34"/>
      <c r="N68" s="119" t="s">
        <v>96</v>
      </c>
    </row>
    <row r="69" spans="1:14" ht="77.25" hidden="1" customHeight="1">
      <c r="A69" s="75" t="s">
        <v>77</v>
      </c>
      <c r="B69" s="20"/>
      <c r="C69" s="20"/>
      <c r="D69" s="33"/>
      <c r="E69" s="33"/>
      <c r="F69" s="33"/>
      <c r="G69" s="91"/>
      <c r="H69" s="77"/>
      <c r="I69" s="33"/>
      <c r="J69" s="56"/>
      <c r="K69" s="91"/>
      <c r="L69" s="33"/>
      <c r="M69" s="34"/>
      <c r="N69" s="74" t="s">
        <v>83</v>
      </c>
    </row>
    <row r="70" spans="1:14" ht="94.5" hidden="1" customHeight="1" thickBot="1">
      <c r="A70" s="141" t="s">
        <v>78</v>
      </c>
      <c r="B70" s="37"/>
      <c r="C70" s="37"/>
      <c r="D70" s="38"/>
      <c r="E70" s="38"/>
      <c r="F70" s="38"/>
      <c r="G70" s="38"/>
      <c r="H70" s="88"/>
      <c r="I70" s="38"/>
      <c r="J70" s="57"/>
      <c r="K70" s="38"/>
      <c r="L70" s="38"/>
      <c r="M70" s="39"/>
      <c r="N70" s="82" t="s">
        <v>84</v>
      </c>
    </row>
    <row r="71" spans="1:14" s="8" customFormat="1" ht="42" customHeight="1" thickBot="1">
      <c r="A71" s="207" t="s">
        <v>17</v>
      </c>
      <c r="B71" s="208"/>
      <c r="C71" s="208"/>
      <c r="D71" s="208"/>
      <c r="E71" s="208"/>
      <c r="F71" s="209"/>
      <c r="G71" s="40">
        <f>G72+G75+G78+G77+G76</f>
        <v>47000</v>
      </c>
      <c r="H71" s="100">
        <f t="shared" ref="H71" si="4">H72+H75+H78+H77+H76</f>
        <v>8000</v>
      </c>
      <c r="I71" s="40">
        <f>I72+I75+I78+I77+I76</f>
        <v>22991.9218</v>
      </c>
      <c r="J71" s="40">
        <f>J72+J75+J78+J77+J76</f>
        <v>3050.9283399999999</v>
      </c>
      <c r="K71" s="40">
        <f t="shared" ref="K71:L71" si="5">K72+K75+K78+K77+K76</f>
        <v>63282.050556000002</v>
      </c>
      <c r="L71" s="40">
        <f t="shared" si="5"/>
        <v>6261.9529399999992</v>
      </c>
      <c r="M71" s="41"/>
      <c r="N71" s="124"/>
    </row>
    <row r="72" spans="1:14" ht="121.9" customHeight="1">
      <c r="A72" s="216" t="s">
        <v>52</v>
      </c>
      <c r="B72" s="58">
        <v>42052</v>
      </c>
      <c r="C72" s="59">
        <v>43513</v>
      </c>
      <c r="D72" s="32" t="s">
        <v>24</v>
      </c>
      <c r="E72" s="32">
        <v>8610</v>
      </c>
      <c r="F72" s="32"/>
      <c r="G72" s="178">
        <v>11750</v>
      </c>
      <c r="H72" s="197">
        <v>4675</v>
      </c>
      <c r="I72" s="178">
        <v>7732.0446499999998</v>
      </c>
      <c r="J72" s="178">
        <v>3050.9283399999999</v>
      </c>
      <c r="K72" s="178">
        <f>7241.25986+I72</f>
        <v>14973.30451</v>
      </c>
      <c r="L72" s="178">
        <f>2710.0976+J72</f>
        <v>5761.0259399999995</v>
      </c>
      <c r="M72" s="55"/>
      <c r="N72" s="211" t="s">
        <v>169</v>
      </c>
    </row>
    <row r="73" spans="1:14" ht="120" customHeight="1">
      <c r="A73" s="217"/>
      <c r="B73" s="36">
        <v>41978</v>
      </c>
      <c r="C73" s="60">
        <v>42735</v>
      </c>
      <c r="D73" s="33" t="s">
        <v>25</v>
      </c>
      <c r="E73" s="33"/>
      <c r="F73" s="33">
        <v>500</v>
      </c>
      <c r="G73" s="177"/>
      <c r="H73" s="194"/>
      <c r="I73" s="177"/>
      <c r="J73" s="177"/>
      <c r="K73" s="177"/>
      <c r="L73" s="177"/>
      <c r="M73" s="34"/>
      <c r="N73" s="212"/>
    </row>
    <row r="74" spans="1:14" ht="207.6" customHeight="1">
      <c r="A74" s="217"/>
      <c r="B74" s="36">
        <v>42052</v>
      </c>
      <c r="C74" s="61">
        <v>43513</v>
      </c>
      <c r="D74" s="33" t="s">
        <v>25</v>
      </c>
      <c r="E74" s="33"/>
      <c r="F74" s="33">
        <v>5300</v>
      </c>
      <c r="G74" s="177"/>
      <c r="H74" s="194"/>
      <c r="I74" s="177"/>
      <c r="J74" s="177"/>
      <c r="K74" s="177"/>
      <c r="L74" s="177"/>
      <c r="M74" s="34"/>
      <c r="N74" s="212"/>
    </row>
    <row r="75" spans="1:14" ht="64.5" customHeight="1">
      <c r="A75" s="217" t="s">
        <v>54</v>
      </c>
      <c r="B75" s="172">
        <v>41964</v>
      </c>
      <c r="C75" s="172">
        <v>44408</v>
      </c>
      <c r="D75" s="195" t="s">
        <v>24</v>
      </c>
      <c r="E75" s="177">
        <v>32400</v>
      </c>
      <c r="F75" s="177"/>
      <c r="G75" s="91">
        <v>23250</v>
      </c>
      <c r="H75" s="77"/>
      <c r="I75" s="154">
        <v>12931.73245</v>
      </c>
      <c r="J75" s="56"/>
      <c r="K75" s="91">
        <f>31293.967106+I75</f>
        <v>44225.699556</v>
      </c>
      <c r="L75" s="33"/>
      <c r="M75" s="34"/>
      <c r="N75" s="74" t="s">
        <v>107</v>
      </c>
    </row>
    <row r="76" spans="1:14" ht="63" customHeight="1">
      <c r="A76" s="217"/>
      <c r="B76" s="172"/>
      <c r="C76" s="172"/>
      <c r="D76" s="195"/>
      <c r="E76" s="177"/>
      <c r="F76" s="177"/>
      <c r="G76" s="91">
        <v>2000</v>
      </c>
      <c r="H76" s="77"/>
      <c r="I76" s="33">
        <v>2328.1446999999998</v>
      </c>
      <c r="J76" s="56"/>
      <c r="K76" s="91">
        <f>1754.90179+I76</f>
        <v>4083.0464899999997</v>
      </c>
      <c r="L76" s="33"/>
      <c r="M76" s="34"/>
      <c r="N76" s="74" t="s">
        <v>108</v>
      </c>
    </row>
    <row r="77" spans="1:14" ht="50.25" customHeight="1">
      <c r="A77" s="75" t="s">
        <v>72</v>
      </c>
      <c r="B77" s="93">
        <v>42713</v>
      </c>
      <c r="C77" s="93">
        <v>44174</v>
      </c>
      <c r="D77" s="77" t="s">
        <v>31</v>
      </c>
      <c r="E77" s="77">
        <v>100000</v>
      </c>
      <c r="F77" s="33"/>
      <c r="G77" s="91">
        <v>10000</v>
      </c>
      <c r="H77" s="77"/>
      <c r="I77" s="33"/>
      <c r="J77" s="33"/>
      <c r="K77" s="91"/>
      <c r="L77" s="33"/>
      <c r="M77" s="34"/>
      <c r="N77" s="74" t="s">
        <v>109</v>
      </c>
    </row>
    <row r="78" spans="1:14" ht="61.9" customHeight="1" thickBot="1">
      <c r="A78" s="141" t="s">
        <v>53</v>
      </c>
      <c r="B78" s="37">
        <v>41946</v>
      </c>
      <c r="C78" s="62">
        <v>43190</v>
      </c>
      <c r="D78" s="57" t="s">
        <v>31</v>
      </c>
      <c r="E78" s="38"/>
      <c r="F78" s="38">
        <v>861</v>
      </c>
      <c r="G78" s="38"/>
      <c r="H78" s="88">
        <v>3325</v>
      </c>
      <c r="I78" s="38"/>
      <c r="J78" s="38"/>
      <c r="K78" s="38"/>
      <c r="L78" s="38">
        <f>500.927+J78</f>
        <v>500.92700000000002</v>
      </c>
      <c r="M78" s="39"/>
      <c r="N78" s="82" t="s">
        <v>110</v>
      </c>
    </row>
    <row r="79" spans="1:14" s="8" customFormat="1" ht="29.25" customHeight="1" thickBot="1">
      <c r="A79" s="207" t="s">
        <v>19</v>
      </c>
      <c r="B79" s="208"/>
      <c r="C79" s="208"/>
      <c r="D79" s="208"/>
      <c r="E79" s="208"/>
      <c r="F79" s="209"/>
      <c r="G79" s="40">
        <f>G80+G81</f>
        <v>0</v>
      </c>
      <c r="H79" s="100">
        <f t="shared" ref="H79:L79" si="6">H80+H81</f>
        <v>8393</v>
      </c>
      <c r="I79" s="40">
        <f t="shared" si="6"/>
        <v>0</v>
      </c>
      <c r="J79" s="40">
        <f t="shared" si="6"/>
        <v>3304.7317199999998</v>
      </c>
      <c r="K79" s="40">
        <f t="shared" si="6"/>
        <v>0</v>
      </c>
      <c r="L79" s="40">
        <f t="shared" si="6"/>
        <v>21676.10284</v>
      </c>
      <c r="M79" s="63"/>
      <c r="N79" s="100"/>
    </row>
    <row r="80" spans="1:14" ht="165" customHeight="1">
      <c r="A80" s="140" t="s">
        <v>16</v>
      </c>
      <c r="B80" s="58">
        <v>40119</v>
      </c>
      <c r="C80" s="53">
        <v>43465</v>
      </c>
      <c r="D80" s="32" t="s">
        <v>31</v>
      </c>
      <c r="E80" s="32"/>
      <c r="F80" s="32">
        <v>2267</v>
      </c>
      <c r="G80" s="90"/>
      <c r="H80" s="102">
        <v>1223</v>
      </c>
      <c r="I80" s="32"/>
      <c r="J80" s="54">
        <v>649.99015999999995</v>
      </c>
      <c r="K80" s="90"/>
      <c r="L80" s="32">
        <f>5234.45876+J80</f>
        <v>5884.4489200000007</v>
      </c>
      <c r="M80" s="55" t="s">
        <v>43</v>
      </c>
      <c r="N80" s="128" t="s">
        <v>93</v>
      </c>
    </row>
    <row r="81" spans="1:14" ht="204.75" customHeight="1" thickBot="1">
      <c r="A81" s="141" t="s">
        <v>5</v>
      </c>
      <c r="B81" s="62">
        <v>40589</v>
      </c>
      <c r="C81" s="62" t="s">
        <v>119</v>
      </c>
      <c r="D81" s="57" t="s">
        <v>31</v>
      </c>
      <c r="E81" s="38"/>
      <c r="F81" s="38">
        <v>8250</v>
      </c>
      <c r="G81" s="38"/>
      <c r="H81" s="88">
        <v>7170</v>
      </c>
      <c r="I81" s="38"/>
      <c r="J81" s="38">
        <v>2654.7415599999999</v>
      </c>
      <c r="K81" s="38"/>
      <c r="L81" s="38">
        <f>13136.91236+J81</f>
        <v>15791.653920000001</v>
      </c>
      <c r="M81" s="39" t="s">
        <v>43</v>
      </c>
      <c r="N81" s="129" t="s">
        <v>118</v>
      </c>
    </row>
    <row r="82" spans="1:14" s="8" customFormat="1" ht="21" customHeight="1" thickBot="1">
      <c r="A82" s="207" t="s">
        <v>18</v>
      </c>
      <c r="B82" s="208"/>
      <c r="C82" s="208"/>
      <c r="D82" s="208"/>
      <c r="E82" s="208"/>
      <c r="F82" s="209"/>
      <c r="G82" s="40">
        <f>G83+G88+G86+G87+G84+G85</f>
        <v>69300</v>
      </c>
      <c r="H82" s="100">
        <f>H83+H88+H86+H87+H84+H85</f>
        <v>88590</v>
      </c>
      <c r="I82" s="152">
        <f t="shared" ref="I82:L82" si="7">I83+I88+I86+I87+I84+I85</f>
        <v>25927.42412</v>
      </c>
      <c r="J82" s="40">
        <f t="shared" si="7"/>
        <v>87503.317950701006</v>
      </c>
      <c r="K82" s="40">
        <f t="shared" si="7"/>
        <v>235306.16659000001</v>
      </c>
      <c r="L82" s="40">
        <f t="shared" si="7"/>
        <v>274024.572982101</v>
      </c>
      <c r="M82" s="63"/>
      <c r="N82" s="100"/>
    </row>
    <row r="83" spans="1:14" ht="388.5" customHeight="1">
      <c r="A83" s="140" t="s">
        <v>48</v>
      </c>
      <c r="B83" s="58">
        <v>41103</v>
      </c>
      <c r="C83" s="58">
        <v>43307</v>
      </c>
      <c r="D83" s="54" t="s">
        <v>25</v>
      </c>
      <c r="E83" s="32"/>
      <c r="F83" s="32">
        <f>140000+2700</f>
        <v>142700</v>
      </c>
      <c r="G83" s="90"/>
      <c r="H83" s="102">
        <v>86490</v>
      </c>
      <c r="I83" s="32"/>
      <c r="J83" s="54">
        <v>87503.317950701006</v>
      </c>
      <c r="K83" s="90"/>
      <c r="L83" s="32">
        <f>186521.2550314+J83</f>
        <v>274024.572982101</v>
      </c>
      <c r="M83" s="55" t="s">
        <v>14</v>
      </c>
      <c r="N83" s="148" t="s">
        <v>165</v>
      </c>
    </row>
    <row r="84" spans="1:14" ht="62.25" customHeight="1">
      <c r="A84" s="75" t="s">
        <v>71</v>
      </c>
      <c r="B84" s="20">
        <v>42661</v>
      </c>
      <c r="C84" s="20">
        <v>44377</v>
      </c>
      <c r="D84" s="33" t="s">
        <v>31</v>
      </c>
      <c r="E84" s="33">
        <v>14000</v>
      </c>
      <c r="F84" s="33"/>
      <c r="G84" s="91">
        <v>10000</v>
      </c>
      <c r="H84" s="77"/>
      <c r="I84" s="33"/>
      <c r="J84" s="33"/>
      <c r="K84" s="91"/>
      <c r="L84" s="35">
        <v>0</v>
      </c>
      <c r="M84" s="34"/>
      <c r="N84" s="74" t="s">
        <v>155</v>
      </c>
    </row>
    <row r="85" spans="1:14" ht="62.25" customHeight="1">
      <c r="A85" s="75" t="s">
        <v>80</v>
      </c>
      <c r="B85" s="76">
        <v>42839</v>
      </c>
      <c r="C85" s="76">
        <v>43830</v>
      </c>
      <c r="D85" s="77" t="s">
        <v>31</v>
      </c>
      <c r="E85" s="77">
        <v>7000</v>
      </c>
      <c r="F85" s="77"/>
      <c r="G85" s="91">
        <v>20300</v>
      </c>
      <c r="H85" s="77"/>
      <c r="I85" s="77">
        <v>16175.188169999999</v>
      </c>
      <c r="J85" s="77"/>
      <c r="K85" s="91">
        <f>4888.2751+I85</f>
        <v>21063.46327</v>
      </c>
      <c r="L85" s="78">
        <v>0</v>
      </c>
      <c r="M85" s="79"/>
      <c r="N85" s="74" t="s">
        <v>114</v>
      </c>
    </row>
    <row r="86" spans="1:14" ht="42" customHeight="1">
      <c r="A86" s="142" t="s">
        <v>60</v>
      </c>
      <c r="B86" s="20">
        <v>42346</v>
      </c>
      <c r="C86" s="20">
        <v>43228</v>
      </c>
      <c r="D86" s="33" t="s">
        <v>31</v>
      </c>
      <c r="E86" s="33">
        <v>82821</v>
      </c>
      <c r="F86" s="33"/>
      <c r="G86" s="91">
        <v>22000</v>
      </c>
      <c r="H86" s="77"/>
      <c r="I86" s="33">
        <v>3796.1167300000002</v>
      </c>
      <c r="J86" s="33"/>
      <c r="K86" s="91">
        <f>203167.21343+I86</f>
        <v>206963.33016000001</v>
      </c>
      <c r="L86" s="33"/>
      <c r="M86" s="34"/>
      <c r="N86" s="74" t="s">
        <v>111</v>
      </c>
    </row>
    <row r="87" spans="1:14" ht="36.75" customHeight="1">
      <c r="A87" s="142" t="s">
        <v>70</v>
      </c>
      <c r="B87" s="20">
        <v>42929</v>
      </c>
      <c r="C87" s="20">
        <v>43830</v>
      </c>
      <c r="D87" s="33" t="s">
        <v>31</v>
      </c>
      <c r="E87" s="33">
        <v>5500</v>
      </c>
      <c r="F87" s="33">
        <v>1500</v>
      </c>
      <c r="G87" s="91">
        <v>7000</v>
      </c>
      <c r="H87" s="77">
        <v>2100</v>
      </c>
      <c r="I87" s="33">
        <v>3414.0302200000001</v>
      </c>
      <c r="J87" s="33"/>
      <c r="K87" s="155">
        <f>I87</f>
        <v>3414.0302200000001</v>
      </c>
      <c r="L87" s="35">
        <v>0</v>
      </c>
      <c r="M87" s="34"/>
      <c r="N87" s="130" t="s">
        <v>147</v>
      </c>
    </row>
    <row r="88" spans="1:14" s="10" customFormat="1" ht="241.5" customHeight="1" thickBot="1">
      <c r="A88" s="141" t="s">
        <v>59</v>
      </c>
      <c r="B88" s="62">
        <v>42457</v>
      </c>
      <c r="C88" s="62">
        <v>44316</v>
      </c>
      <c r="D88" s="57" t="s">
        <v>25</v>
      </c>
      <c r="E88" s="38">
        <v>40000</v>
      </c>
      <c r="F88" s="38"/>
      <c r="G88" s="38">
        <v>10000</v>
      </c>
      <c r="H88" s="88"/>
      <c r="I88" s="38">
        <v>2542.0889999999999</v>
      </c>
      <c r="J88" s="38"/>
      <c r="K88" s="38">
        <f>1323.25394+I88</f>
        <v>3865.34294</v>
      </c>
      <c r="L88" s="38"/>
      <c r="M88" s="39"/>
      <c r="N88" s="82" t="s">
        <v>148</v>
      </c>
    </row>
    <row r="89" spans="1:14" s="7" customFormat="1" ht="29.25" customHeight="1" thickBot="1">
      <c r="A89" s="143"/>
      <c r="B89" s="64"/>
      <c r="C89" s="64"/>
      <c r="D89" s="65"/>
      <c r="E89" s="66"/>
      <c r="F89" s="40" t="s">
        <v>27</v>
      </c>
      <c r="G89" s="40">
        <f t="shared" ref="G89:L89" si="8">G7+G36+G51+G60+G71+G79+G82</f>
        <v>1236750</v>
      </c>
      <c r="H89" s="100">
        <f t="shared" si="8"/>
        <v>164248</v>
      </c>
      <c r="I89" s="40">
        <f t="shared" si="8"/>
        <v>510556.48723999999</v>
      </c>
      <c r="J89" s="40">
        <f t="shared" si="8"/>
        <v>123268.43454070101</v>
      </c>
      <c r="K89" s="40">
        <f t="shared" si="8"/>
        <v>3534246.2810449991</v>
      </c>
      <c r="L89" s="40">
        <f t="shared" si="8"/>
        <v>464511.66252210096</v>
      </c>
      <c r="M89" s="66"/>
      <c r="N89" s="100"/>
    </row>
    <row r="90" spans="1:14" ht="8.25" customHeight="1">
      <c r="A90" s="19"/>
      <c r="B90" s="18"/>
      <c r="C90" s="18"/>
      <c r="D90" s="19"/>
      <c r="E90" s="19"/>
      <c r="F90" s="19"/>
      <c r="G90" s="103"/>
      <c r="H90" s="19"/>
      <c r="I90" s="19"/>
      <c r="J90" s="19"/>
      <c r="K90" s="103"/>
      <c r="L90" s="19"/>
      <c r="M90" s="19"/>
      <c r="N90" s="13"/>
    </row>
    <row r="91" spans="1:14" ht="31.5" customHeight="1">
      <c r="A91" s="223" t="s">
        <v>91</v>
      </c>
      <c r="B91" s="223"/>
      <c r="C91" s="223"/>
      <c r="D91" s="223"/>
      <c r="E91" s="223"/>
      <c r="F91" s="223"/>
      <c r="G91" s="223"/>
      <c r="H91" s="223"/>
      <c r="I91" s="223"/>
      <c r="J91" s="223"/>
      <c r="K91" s="223"/>
      <c r="L91" s="223"/>
      <c r="M91" s="223"/>
      <c r="N91" s="223"/>
    </row>
    <row r="92" spans="1:14" ht="26.25" customHeight="1">
      <c r="A92" s="14" t="s">
        <v>92</v>
      </c>
      <c r="B92" s="16"/>
      <c r="C92" s="16"/>
      <c r="D92" s="14"/>
      <c r="E92" s="14"/>
      <c r="F92" s="14"/>
      <c r="H92" s="14"/>
      <c r="I92" s="14"/>
      <c r="J92" s="14"/>
      <c r="K92" s="104"/>
      <c r="L92" s="14"/>
      <c r="M92" s="14"/>
    </row>
    <row r="94" spans="1:14">
      <c r="J94" s="2"/>
    </row>
    <row r="95" spans="1:14" ht="24.75" customHeight="1">
      <c r="G95" s="23"/>
      <c r="H95" s="9"/>
      <c r="I95" s="9"/>
      <c r="J95" s="9"/>
      <c r="K95" s="145"/>
      <c r="L95" s="146"/>
    </row>
    <row r="96" spans="1:14" ht="19.5">
      <c r="G96" s="104"/>
      <c r="H96" s="2"/>
      <c r="I96" s="9"/>
      <c r="J96" s="2"/>
      <c r="K96" s="104"/>
      <c r="L96" s="2"/>
    </row>
    <row r="97" spans="9:9">
      <c r="I97" s="15"/>
    </row>
  </sheetData>
  <mergeCells count="141">
    <mergeCell ref="A91:N91"/>
    <mergeCell ref="A53:A54"/>
    <mergeCell ref="I43:I44"/>
    <mergeCell ref="H43:H44"/>
    <mergeCell ref="A79:F79"/>
    <mergeCell ref="A82:F82"/>
    <mergeCell ref="A75:A76"/>
    <mergeCell ref="B75:B76"/>
    <mergeCell ref="C75:C76"/>
    <mergeCell ref="D75:D76"/>
    <mergeCell ref="E75:E76"/>
    <mergeCell ref="F75:F76"/>
    <mergeCell ref="C66:C67"/>
    <mergeCell ref="E66:E67"/>
    <mergeCell ref="N53:N54"/>
    <mergeCell ref="I40:I41"/>
    <mergeCell ref="L40:L41"/>
    <mergeCell ref="A72:A74"/>
    <mergeCell ref="B62:B64"/>
    <mergeCell ref="J40:J41"/>
    <mergeCell ref="K40:K41"/>
    <mergeCell ref="A60:F60"/>
    <mergeCell ref="A71:F71"/>
    <mergeCell ref="G72:G74"/>
    <mergeCell ref="B66:B67"/>
    <mergeCell ref="L53:L54"/>
    <mergeCell ref="K43:K44"/>
    <mergeCell ref="J43:J44"/>
    <mergeCell ref="C62:C64"/>
    <mergeCell ref="D62:D64"/>
    <mergeCell ref="E62:E64"/>
    <mergeCell ref="C53:C54"/>
    <mergeCell ref="F53:F54"/>
    <mergeCell ref="C40:C41"/>
    <mergeCell ref="A51:F51"/>
    <mergeCell ref="A40:A41"/>
    <mergeCell ref="B40:B41"/>
    <mergeCell ref="C29:C30"/>
    <mergeCell ref="F8:F9"/>
    <mergeCell ref="L8:L9"/>
    <mergeCell ref="L12:L13"/>
    <mergeCell ref="K10:K11"/>
    <mergeCell ref="F29:F30"/>
    <mergeCell ref="A36:F36"/>
    <mergeCell ref="H72:H74"/>
    <mergeCell ref="N40:N41"/>
    <mergeCell ref="F40:F41"/>
    <mergeCell ref="I72:I74"/>
    <mergeCell ref="J72:J74"/>
    <mergeCell ref="K72:K74"/>
    <mergeCell ref="L72:L74"/>
    <mergeCell ref="N72:N74"/>
    <mergeCell ref="N62:N63"/>
    <mergeCell ref="N43:N44"/>
    <mergeCell ref="M40:M41"/>
    <mergeCell ref="G40:G41"/>
    <mergeCell ref="H40:H41"/>
    <mergeCell ref="I53:I54"/>
    <mergeCell ref="K53:K54"/>
    <mergeCell ref="J53:J54"/>
    <mergeCell ref="L43:L44"/>
    <mergeCell ref="A29:A30"/>
    <mergeCell ref="H53:H54"/>
    <mergeCell ref="B53:B54"/>
    <mergeCell ref="A43:A44"/>
    <mergeCell ref="B43:B44"/>
    <mergeCell ref="C43:C44"/>
    <mergeCell ref="G43:G44"/>
    <mergeCell ref="G53:G54"/>
    <mergeCell ref="N8:N9"/>
    <mergeCell ref="N12:N13"/>
    <mergeCell ref="N29:N30"/>
    <mergeCell ref="M29:M30"/>
    <mergeCell ref="M8:M9"/>
    <mergeCell ref="M12:M13"/>
    <mergeCell ref="N10:N11"/>
    <mergeCell ref="A8:A9"/>
    <mergeCell ref="C10:C11"/>
    <mergeCell ref="A10:A11"/>
    <mergeCell ref="I12:I13"/>
    <mergeCell ref="C8:C9"/>
    <mergeCell ref="C12:C13"/>
    <mergeCell ref="J10:J11"/>
    <mergeCell ref="L10:L11"/>
    <mergeCell ref="I10:I11"/>
    <mergeCell ref="I29:I30"/>
    <mergeCell ref="J29:J30"/>
    <mergeCell ref="J8:J9"/>
    <mergeCell ref="H12:H13"/>
    <mergeCell ref="K29:K30"/>
    <mergeCell ref="K5:L5"/>
    <mergeCell ref="K4:L4"/>
    <mergeCell ref="J12:J13"/>
    <mergeCell ref="I8:I9"/>
    <mergeCell ref="L29:L30"/>
    <mergeCell ref="H10:H11"/>
    <mergeCell ref="H8:H9"/>
    <mergeCell ref="B29:B30"/>
    <mergeCell ref="I5:J5"/>
    <mergeCell ref="D5:F5"/>
    <mergeCell ref="A14:A15"/>
    <mergeCell ref="B14:B15"/>
    <mergeCell ref="C14:C15"/>
    <mergeCell ref="G14:G15"/>
    <mergeCell ref="I14:I15"/>
    <mergeCell ref="K14:K15"/>
    <mergeCell ref="F14:F15"/>
    <mergeCell ref="H14:H15"/>
    <mergeCell ref="J14:J15"/>
    <mergeCell ref="A7:F7"/>
    <mergeCell ref="A4:A5"/>
    <mergeCell ref="B4:B5"/>
    <mergeCell ref="A12:A13"/>
    <mergeCell ref="B10:B11"/>
    <mergeCell ref="G4:H4"/>
    <mergeCell ref="G5:H5"/>
    <mergeCell ref="K8:K9"/>
    <mergeCell ref="K12:K13"/>
    <mergeCell ref="B12:B13"/>
    <mergeCell ref="G29:G30"/>
    <mergeCell ref="H29:H30"/>
    <mergeCell ref="A18:A19"/>
    <mergeCell ref="G18:G19"/>
    <mergeCell ref="K18:K19"/>
    <mergeCell ref="N18:N19"/>
    <mergeCell ref="L18:L19"/>
    <mergeCell ref="J18:J19"/>
    <mergeCell ref="I18:I19"/>
    <mergeCell ref="H18:H19"/>
    <mergeCell ref="D4:F4"/>
    <mergeCell ref="B8:B9"/>
    <mergeCell ref="M4:M5"/>
    <mergeCell ref="N4:N5"/>
    <mergeCell ref="N14:N15"/>
    <mergeCell ref="L14:L15"/>
    <mergeCell ref="I4:J4"/>
    <mergeCell ref="G10:G11"/>
    <mergeCell ref="F12:F13"/>
    <mergeCell ref="G8:G9"/>
    <mergeCell ref="G12:G13"/>
    <mergeCell ref="C4:C5"/>
  </mergeCells>
  <printOptions horizontalCentered="1"/>
  <pageMargins left="0.11811023622047245" right="0.11811023622047245" top="0.19685039370078741" bottom="0.19685039370078741" header="0" footer="0"/>
  <pageSetup paperSize="9" scale="40" fitToHeight="5" orientation="landscape" r:id="rId1"/>
  <headerFooter alignWithMargins="0"/>
  <rowBreaks count="5" manualBreakCount="5">
    <brk id="24" max="13" man="1"/>
    <brk id="42" max="13" man="1"/>
    <brk id="55" max="13" man="1"/>
    <brk id="67" max="13" man="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vt:lpstr>
      <vt:lpstr>'For Website'!Print_Area</vt:lpstr>
      <vt:lpstr>'For Website'!Print_Titles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2018-12-06T07:05:54Z</cp:lastPrinted>
  <dcterms:created xsi:type="dcterms:W3CDTF">2011-04-14T08:42:21Z</dcterms:created>
  <dcterms:modified xsi:type="dcterms:W3CDTF">2018-12-28T13:28:52Z</dcterms:modified>
</cp:coreProperties>
</file>