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July\"/>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K92" i="12" l="1"/>
  <c r="K90" i="12"/>
  <c r="K89" i="12"/>
  <c r="L87" i="12"/>
  <c r="L85" i="12"/>
  <c r="L84" i="12"/>
  <c r="K81" i="12"/>
  <c r="K80" i="12"/>
  <c r="L77" i="12"/>
  <c r="K77" i="12"/>
  <c r="L62" i="12"/>
  <c r="L61" i="12"/>
  <c r="K61" i="12"/>
  <c r="L60" i="12"/>
  <c r="K60" i="12"/>
  <c r="L59" i="12"/>
  <c r="K59" i="12"/>
  <c r="K58" i="12"/>
  <c r="K56" i="12"/>
  <c r="L55" i="12"/>
  <c r="K55" i="12"/>
  <c r="K49" i="12"/>
  <c r="L47" i="12"/>
  <c r="K47" i="12"/>
  <c r="K46" i="12"/>
  <c r="K45" i="12"/>
  <c r="K43" i="12"/>
  <c r="K40" i="12"/>
  <c r="L39" i="12"/>
  <c r="K39" i="12"/>
  <c r="K38" i="12"/>
  <c r="L37" i="12"/>
  <c r="K37" i="12"/>
  <c r="K21" i="12"/>
  <c r="I7" i="12" l="1"/>
  <c r="K35" i="12"/>
  <c r="K34" i="12"/>
  <c r="K33" i="12"/>
  <c r="K32" i="12"/>
  <c r="K31" i="12"/>
  <c r="K29" i="12"/>
  <c r="L17" i="12"/>
  <c r="K17" i="12"/>
  <c r="K16" i="12"/>
  <c r="K8" i="12"/>
  <c r="K51" i="12" l="1"/>
  <c r="K23" i="12"/>
  <c r="K20" i="12"/>
  <c r="K69" i="12" l="1"/>
  <c r="K64" i="12" l="1"/>
  <c r="G36" i="12" l="1"/>
  <c r="L82" i="12" l="1"/>
  <c r="K70" i="12"/>
  <c r="K65" i="12"/>
  <c r="K42" i="12"/>
  <c r="L63" i="12" l="1"/>
  <c r="J63" i="12"/>
  <c r="I63" i="12"/>
  <c r="H63" i="12"/>
  <c r="G63" i="12"/>
  <c r="J36" i="12" l="1"/>
  <c r="I36" i="12"/>
  <c r="H36" i="12"/>
  <c r="G54" i="12"/>
  <c r="K18" i="12" l="1"/>
  <c r="L36" i="12" l="1"/>
  <c r="K36" i="12"/>
  <c r="G76" i="12"/>
  <c r="K63" i="12"/>
  <c r="I76" i="12" l="1"/>
  <c r="J76" i="12"/>
  <c r="K76" i="12" l="1"/>
  <c r="I54" i="12" l="1"/>
  <c r="L76" i="12" l="1"/>
  <c r="F87" i="12" l="1"/>
  <c r="E65" i="12"/>
  <c r="F59" i="12"/>
  <c r="E59" i="12"/>
  <c r="E57" i="12"/>
  <c r="E56" i="12"/>
  <c r="E41" i="12"/>
  <c r="E40" i="12"/>
  <c r="J7" i="12" l="1"/>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<sst xmlns="http://schemas.openxmlformats.org/spreadsheetml/2006/main" count="242" uniqueCount="171">
  <si>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</si>
  <si>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</si>
  <si>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</si>
  <si>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</si>
  <si>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</si>
  <si>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</si>
  <si>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</si>
  <si>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</si>
  <si>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</si>
  <si>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</si>
  <si>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</si>
  <si>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</si>
  <si>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</si>
  <si>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</si>
  <si>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</si>
  <si>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</si>
  <si>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</si>
  <si>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</si>
  <si>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</si>
  <si>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</si>
  <si>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</si>
  <si>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</si>
  <si>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</si>
  <si>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</si>
  <si>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</si>
  <si>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</si>
  <si>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</si>
  <si>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</si>
  <si>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</si>
  <si>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</si>
  <si>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</si>
  <si>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</si>
  <si>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</si>
  <si>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</si>
  <si>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</si>
  <si>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</si>
  <si>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</si>
  <si>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</si>
  <si>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</si>
  <si>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</si>
  <si>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</si>
  <si>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</si>
  <si>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</si>
  <si>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</si>
  <si>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</si>
  <si>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</si>
  <si>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</si>
  <si>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</si>
  <si>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</si>
  <si>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</si>
  <si>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</si>
  <si>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</si>
  <si>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</si>
  <si>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</si>
  <si>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</si>
  <si>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</si>
  <si>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</si>
  <si>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</si>
  <si>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</si>
  <si>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</si>
  <si>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</si>
  <si>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</si>
  <si>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</si>
  <si>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</si>
  <si>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</si>
  <si>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</si>
  <si>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</si>
  <si>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</si>
  <si>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</si>
  <si>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</si>
  <si>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</si>
  <si>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</si>
  <si>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</si>
  <si>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</si>
  <si>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</si>
  <si>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</si>
  <si>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</si>
  <si>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</si>
  <si>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</si>
  <si>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</si>
  <si>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</si>
  <si>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</si>
  <si>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</si>
  <si>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</si>
  <si>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</si>
  <si>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</si>
  <si>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</si>
  <si>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</si>
  <si>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</si>
  <si>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</si>
  <si>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</si>
  <si>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</si>
  <si>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</si>
  <si>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</si>
  <si>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</si>
  <si>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</si>
  <si>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</si>
  <si>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</si>
  <si>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</si>
  <si>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</si>
  <si>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</si>
  <si>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</si>
  <si>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</si>
  <si>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</si>
  <si>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</si>
  <si>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</si>
  <si>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</si>
  <si>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</si>
  <si>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</si>
  <si>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</si>
  <si>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</si>
  <si>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</si>
  <si>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</si>
  <si>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</si>
  <si>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</si>
  <si>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</si>
  <si>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Rehabilitation of secondary and local roads in different regions of Georgia (approx. 225 km in total) (completed).</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</si>
  <si>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</si>
  <si>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</si>
  <si>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</si>
  <si>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</si>
  <si>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</si>
  <si>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</si>
  <si>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</si>
  <si>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</si>
  <si>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</si>
  <si>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</si>
  <si>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</si>
  <si>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</si>
  <si>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</si>
  <si>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</si>
  <si>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</si>
  <si>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</si>
  <si>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</si>
  <si>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</si>
  <si>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</si>
  <si>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</si>
  <si>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</si>
  <si>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</si>
  <si>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</si>
  <si>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</si>
  <si>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</si>
  <si>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</si>
  <si>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</si>
  <si>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</si>
  <si>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</si>
  <si>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</si>
  <si>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Rehabilitation of secondary and local roads in different regions of Georgia (approx. 200 km in total) (an additional 12 road will be  rehabilitated within the project (approx. 80 km in total). </t>
  </si>
  <si>
    <t xml:space="preserve">  - Construction of the Zemo Osiauri - Chumateleti Section (approximately 14.1 km) of the Highway ( construction works are ongoing for Lot I, agreement for Lot II was terminated, the discussions with donor  on the extension of the works are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</si>
  <si>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 xml:space="preserve"> - Construction of a new four lane highway (approx. 52 km) from Samtredia to Grigoleti (construction works are going under the I, II and IV lots, III lot - the agreement was terminated, negotiations with the donor on re-announcement of the tender are ongoing);
 - Road sections of Poti-Grigoleti and Grigoleti-Kobuleti Bypass Road (  preparation of the Detailed Design was completed);</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</si>
  <si>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</si>
  <si>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</si>
  <si>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</si>
  <si>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</si>
  <si>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</si>
  <si>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</si>
  <si>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12 339  (including 1 104 non-Georgian language teachers) teachers successfully completed all three modules of general professional course. 
- Within the course of the subject methodology (Physics, Mathematics, Biology, Chemistry, English and Information Technology) 14 859 teachers, including 1 229 non-georgian language teachers successfully completed the trainings.
</t>
    </r>
    <r>
      <rPr>
        <b/>
        <sz val="12"/>
        <rFont val="Franklin Gothic Book"/>
        <family val="2"/>
        <scheme val="minor"/>
      </rPr>
      <t>Increase qualification of school directors</t>
    </r>
    <r>
      <rPr>
        <sz val="12"/>
        <rFont val="Franklin Gothic Book"/>
        <family val="2"/>
        <scheme val="minor"/>
      </rPr>
      <t xml:space="preserve">
- 1 820 directors  (including 167 from non-Georgian language schools) successfully completed  the Academy Leadership 1.
-  1 621 directors  (including 182 from non-Georgian language schools) successfully completed  the Academy Leadership 2.
- 1 718 directors  (including 152 from non-Georgian language schools) successfully completed  the Academy Leadership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</si>
  <si>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Implementation of energy efficiency activities in public buildings. (Implementation of renewable and alternative energy sources in administrative and educational buildings) (preparatory works are ongoing).</t>
  </si>
  <si>
    <t xml:space="preserve">As of July 31, 2019 (In thousand) </t>
  </si>
  <si>
    <t>Upgrading of approximately 11 km of the existing 2-line East-West Highway Corridor to a  2-line dual carriageway from  Chumateleti to Khevi; (the successful company through the tender process was identified;  the notice on a contract award was issued)
The project will be implemented by EIB co-financing.</t>
  </si>
  <si>
    <t>Construction-Rehabilitaion of Chumateleti-Khevi section of Tbilisi-Senaki-Leselidze Road (construction works are ongoing).</t>
  </si>
  <si>
    <t xml:space="preserve">Consturction-Rehabilitation of Khevi-Ubisa section of Tbilisi-Senaki-Leselidze Road (construction works are ongoing).  </t>
  </si>
  <si>
    <t xml:space="preserve">Construction-Rehabilitation of Dzirula-Argveta section of Tbilisi-Senaki-Leselidze Road. (Tender for construction works was announced. The deadline for submission of tender proposals was extended until the 22nd August of 2019). </t>
  </si>
  <si>
    <t xml:space="preserve">Construction of Grigoleti-Choloki (km48 - km64) section of Senaki-Poti-Sarpi Road  (constructions works are ongoing).  </t>
  </si>
  <si>
    <t>Construction of road and tunnel on Kvesheti-Kobi section of Mtskheta-Stepantsminda-Larsi Road. Road section: (the successful company through the tender process was identified, signing of the contract is scheduled on the 15th of August, 2019; Tunnel section: The letter of acceptance was issued on the 22nd of July, 2019).</t>
  </si>
  <si>
    <t>Construction of Poti Bridge on River Rioni  (Tender on supervision of construction of Poti bridge and access roads has been announced).</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</si>
  <si>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one section); 
 -Monitoring and supervision of works contracts (supervision of rehabilitation works of 4 road sections is ongoing).</t>
  </si>
  <si>
    <t xml:space="preserve"> Rehabilitation of secondary road connecting Dzirula-Kharagauli-Moliti-Pona-Chumateleti Road ( Dzirula-Moliti road rehabilitation - the constraction works are ongoing). </t>
  </si>
  <si>
    <t>Rehabilitation-reconstruction of the Khulo-Goderdzi Section of the Batumi-Akhaltsikhe Road Project (approximately 29 km 2 lane road) (Preparatory and mobilization works are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</si>
  <si>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(tendering procedures are ongoing); 
- Construction of Abasha main line (constructions works are ongoing);
-  Construction of Water Supply System in Telavi  (tendering procedures are ongoing); 
- Construction water and sewerage systems in Gudauri (project works are ongoing); 
-  Constraction of wastewater treatment plant in Gudauri (project works are ongoing).
</t>
  </si>
  <si>
    <r>
      <rPr>
        <b/>
        <sz val="12"/>
        <rFont val="Franklin Gothic Book"/>
        <family val="2"/>
        <scheme val="minor"/>
      </rPr>
      <t xml:space="preserve">
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64 trainings (theoretical and practical trainin) were conducted for  2949 participants. 
- 453 small and large size grants were issued (443 for  enterprises and 10 for processing enterprises); 
- Preparation of tender documentation for rehabilitation of Tiriponi  irrigation system distribution network (G-3 distributor's internal network and G-3-2-1) and rehabilitation of its other distribution networks (Shida Kartli, Gori) is ongoing; 
- Construction works are ongoing for the rehabilitation /modernization of Kvemo Alazani Distribution network (G-32 and G-35) and its other distribution networks (Kakheti, Gurjaani);
- Construction works are ongoing for rehabilitation of Saltvisi irrigation system networks (alternative and Dzlevijvari networks ) and internal networks (Shida Kartli, Gori, Kareli);
- Preparaton of detailed project for rehabilitation of Saltvisi irrigation system G-2 distribution network and its other distribution networks (Shida Kartli, Gori, Kareli) is ongoing;
- the contract with contructor company was signed  for the rehabilitation of the reservoir in  Iakublos, the construction works will begin in September, 2019 (Kvemo Kartli, Dmanisi);
- Rehabilitation of roads  in the village of Akhalsopeli  in Khobi municipality was completed,  construction of bridges and roads in the village of Bredza in Kareli municipality is ongoing.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</si>
</sst>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8">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49" fontId="7" fillId="0" borderId="33" xfId="1" applyNumberFormat="1" applyFont="1" applyFill="1" applyBorder="1" applyAlignment="1" applyProtection="1">
      <alignment horizontal="left" vertical="center" wrapText="1"/>
      <protection locked="0"/>
    </xf>
    <xf numFmtId="164" fontId="5" fillId="0" borderId="38" xfId="1" applyNumberFormat="1" applyFont="1" applyFill="1" applyBorder="1" applyAlignment="1">
      <alignment horizontal="center" vertical="center"/>
    </xf>
    <xf numFmtId="49" fontId="5" fillId="0" borderId="33"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5"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29" xfId="1" applyNumberFormat="1" applyFont="1" applyFill="1" applyBorder="1" applyAlignment="1">
      <alignment horizontal="center" vertical="center"/>
    </xf>
    <xf numFmtId="165" fontId="7" fillId="0" borderId="40" xfId="1" applyNumberFormat="1" applyFont="1" applyFill="1" applyBorder="1" applyAlignment="1">
      <alignment horizontal="center" vertical="center" wrapText="1"/>
    </xf>
    <xf numFmtId="164" fontId="7" fillId="0" borderId="40"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uly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307640.23633000004</v>
          </cell>
          <cell r="J93">
            <v>77761.971409999998</v>
          </cell>
          <cell r="K93">
            <v>4312044.569255</v>
          </cell>
          <cell r="L93">
            <v>552683.17839140003</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zoomScale="70" zoomScaleNormal="60" zoomScaleSheetLayoutView="70" zoomScalePageLayoutView="40" workbookViewId="0">
      <selection activeCell="K92" sqref="K92"/>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114</v>
      </c>
      <c r="B2" s="16"/>
      <c r="C2" s="16"/>
      <c r="D2" s="15"/>
      <c r="E2" s="15"/>
      <c r="F2" s="15"/>
      <c r="G2" s="15"/>
      <c r="H2" s="15"/>
      <c r="I2" s="15"/>
      <c r="J2" s="15"/>
      <c r="K2" s="17"/>
      <c r="L2" s="15"/>
      <c r="M2" s="81"/>
    </row>
    <row r="3" spans="1:13" ht="27" customHeight="1" thickBot="1">
      <c r="A3" s="18" t="s">
        <v>158</v>
      </c>
      <c r="B3" s="19"/>
      <c r="C3" s="19"/>
      <c r="D3" s="20"/>
      <c r="E3" s="20"/>
      <c r="F3" s="20"/>
      <c r="G3" s="20"/>
      <c r="H3" s="20"/>
      <c r="I3" s="20"/>
      <c r="J3" s="20"/>
      <c r="K3" s="20"/>
      <c r="L3" s="20"/>
    </row>
    <row r="4" spans="1:13" s="6" customFormat="1" ht="54.6" customHeight="1">
      <c r="A4" s="201" t="s">
        <v>9</v>
      </c>
      <c r="B4" s="198" t="s">
        <v>69</v>
      </c>
      <c r="C4" s="198" t="s">
        <v>30</v>
      </c>
      <c r="D4" s="191" t="s">
        <v>29</v>
      </c>
      <c r="E4" s="191"/>
      <c r="F4" s="200"/>
      <c r="G4" s="190" t="s">
        <v>124</v>
      </c>
      <c r="H4" s="191"/>
      <c r="I4" s="190" t="s">
        <v>125</v>
      </c>
      <c r="J4" s="191"/>
      <c r="K4" s="189" t="s">
        <v>57</v>
      </c>
      <c r="L4" s="190"/>
      <c r="M4" s="184" t="s">
        <v>31</v>
      </c>
    </row>
    <row r="5" spans="1:13" s="6" customFormat="1" ht="50.45" customHeight="1" thickBot="1">
      <c r="A5" s="202"/>
      <c r="B5" s="199"/>
      <c r="C5" s="199"/>
      <c r="D5" s="203" t="s">
        <v>19</v>
      </c>
      <c r="E5" s="204"/>
      <c r="F5" s="205"/>
      <c r="G5" s="187" t="s">
        <v>6</v>
      </c>
      <c r="H5" s="188"/>
      <c r="I5" s="187" t="s">
        <v>6</v>
      </c>
      <c r="J5" s="188"/>
      <c r="K5" s="187" t="s">
        <v>6</v>
      </c>
      <c r="L5" s="188"/>
      <c r="M5" s="185"/>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206" t="s">
        <v>24</v>
      </c>
      <c r="B7" s="207"/>
      <c r="C7" s="207"/>
      <c r="D7" s="207"/>
      <c r="E7" s="207"/>
      <c r="F7" s="208"/>
      <c r="G7" s="24">
        <f t="shared" ref="G7:L7" si="0">SUM(G8:G35)</f>
        <v>680550</v>
      </c>
      <c r="H7" s="24">
        <f t="shared" si="0"/>
        <v>8050</v>
      </c>
      <c r="I7" s="24">
        <f>SUM(I8:I35)</f>
        <v>109468.43166000002</v>
      </c>
      <c r="J7" s="24">
        <f t="shared" si="0"/>
        <v>2695.3515000000002</v>
      </c>
      <c r="K7" s="24">
        <f t="shared" si="0"/>
        <v>2111967.34185</v>
      </c>
      <c r="L7" s="24">
        <f t="shared" si="0"/>
        <v>33691.200839999998</v>
      </c>
      <c r="M7" s="83"/>
    </row>
    <row r="8" spans="1:13" ht="48" customHeight="1">
      <c r="A8" s="196" t="s">
        <v>54</v>
      </c>
      <c r="B8" s="209">
        <v>41431</v>
      </c>
      <c r="C8" s="221">
        <v>43524</v>
      </c>
      <c r="D8" s="25" t="s">
        <v>0</v>
      </c>
      <c r="E8" s="25">
        <v>24500</v>
      </c>
      <c r="F8" s="177"/>
      <c r="G8" s="177">
        <v>4000</v>
      </c>
      <c r="H8" s="182"/>
      <c r="I8" s="177">
        <v>6263.2766099999999</v>
      </c>
      <c r="J8" s="223"/>
      <c r="K8" s="177">
        <f>148859.28356+I8</f>
        <v>155122.56017000001</v>
      </c>
      <c r="L8" s="177"/>
      <c r="M8" s="186" t="s">
        <v>134</v>
      </c>
    </row>
    <row r="9" spans="1:13" ht="80.25" customHeight="1">
      <c r="A9" s="157"/>
      <c r="B9" s="159"/>
      <c r="C9" s="222"/>
      <c r="D9" s="26" t="s">
        <v>1</v>
      </c>
      <c r="E9" s="26">
        <v>38000</v>
      </c>
      <c r="F9" s="160"/>
      <c r="G9" s="160"/>
      <c r="H9" s="161"/>
      <c r="I9" s="160"/>
      <c r="J9" s="165"/>
      <c r="K9" s="160"/>
      <c r="L9" s="160"/>
      <c r="M9" s="156"/>
    </row>
    <row r="10" spans="1:13" s="9" customFormat="1" ht="46.9" customHeight="1">
      <c r="A10" s="157" t="s">
        <v>46</v>
      </c>
      <c r="B10" s="159">
        <v>42410</v>
      </c>
      <c r="C10" s="159">
        <v>44196</v>
      </c>
      <c r="D10" s="26" t="s">
        <v>1</v>
      </c>
      <c r="E10" s="26">
        <v>140000</v>
      </c>
      <c r="F10" s="26"/>
      <c r="G10" s="160">
        <v>55225</v>
      </c>
      <c r="H10" s="161"/>
      <c r="I10" s="160">
        <v>9485.2582700000003</v>
      </c>
      <c r="J10" s="165"/>
      <c r="K10" s="160">
        <v>112061.49513000001</v>
      </c>
      <c r="L10" s="160"/>
      <c r="M10" s="156" t="s">
        <v>148</v>
      </c>
    </row>
    <row r="11" spans="1:13" s="9" customFormat="1" ht="70.5" customHeight="1">
      <c r="A11" s="157"/>
      <c r="B11" s="159"/>
      <c r="C11" s="159"/>
      <c r="D11" s="26" t="s">
        <v>4</v>
      </c>
      <c r="E11" s="26">
        <v>49450</v>
      </c>
      <c r="F11" s="26"/>
      <c r="G11" s="160"/>
      <c r="H11" s="161"/>
      <c r="I11" s="160"/>
      <c r="J11" s="165"/>
      <c r="K11" s="160"/>
      <c r="L11" s="160"/>
      <c r="M11" s="156"/>
    </row>
    <row r="12" spans="1:13" ht="25.15" customHeight="1">
      <c r="A12" s="157" t="s">
        <v>56</v>
      </c>
      <c r="B12" s="159">
        <v>40115</v>
      </c>
      <c r="C12" s="159">
        <v>43737</v>
      </c>
      <c r="D12" s="26" t="s">
        <v>0</v>
      </c>
      <c r="E12" s="26">
        <v>75892</v>
      </c>
      <c r="F12" s="160"/>
      <c r="G12" s="160">
        <v>4000</v>
      </c>
      <c r="H12" s="161"/>
      <c r="I12" s="160">
        <v>10411.350060000001</v>
      </c>
      <c r="J12" s="160"/>
      <c r="K12" s="160">
        <v>383241.21223</v>
      </c>
      <c r="L12" s="160"/>
      <c r="M12" s="156" t="s">
        <v>113</v>
      </c>
    </row>
    <row r="13" spans="1:13" ht="48.75" customHeight="1">
      <c r="A13" s="157"/>
      <c r="B13" s="159"/>
      <c r="C13" s="159"/>
      <c r="D13" s="26" t="s">
        <v>2</v>
      </c>
      <c r="E13" s="26">
        <v>140000</v>
      </c>
      <c r="F13" s="160"/>
      <c r="G13" s="160"/>
      <c r="H13" s="161"/>
      <c r="I13" s="160"/>
      <c r="J13" s="160"/>
      <c r="K13" s="160"/>
      <c r="L13" s="160"/>
      <c r="M13" s="156"/>
    </row>
    <row r="14" spans="1:13" s="9" customFormat="1" ht="24" customHeight="1">
      <c r="A14" s="172" t="s">
        <v>55</v>
      </c>
      <c r="B14" s="210" t="s">
        <v>71</v>
      </c>
      <c r="C14" s="210" t="s">
        <v>72</v>
      </c>
      <c r="D14" s="49" t="s">
        <v>4</v>
      </c>
      <c r="E14" s="49">
        <v>108190</v>
      </c>
      <c r="F14" s="169"/>
      <c r="G14" s="169">
        <v>56000</v>
      </c>
      <c r="H14" s="175"/>
      <c r="I14" s="175">
        <v>23451.428240000001</v>
      </c>
      <c r="J14" s="169"/>
      <c r="K14" s="169">
        <v>84539.824590000004</v>
      </c>
      <c r="L14" s="169"/>
      <c r="M14" s="226" t="s">
        <v>115</v>
      </c>
    </row>
    <row r="15" spans="1:13" s="9" customFormat="1" ht="53.25" customHeight="1">
      <c r="A15" s="173"/>
      <c r="B15" s="211"/>
      <c r="C15" s="211"/>
      <c r="D15" s="49" t="s">
        <v>1</v>
      </c>
      <c r="E15" s="49">
        <v>114000</v>
      </c>
      <c r="F15" s="171"/>
      <c r="G15" s="171"/>
      <c r="H15" s="176"/>
      <c r="I15" s="176"/>
      <c r="J15" s="171"/>
      <c r="K15" s="171"/>
      <c r="L15" s="171"/>
      <c r="M15" s="227"/>
    </row>
    <row r="16" spans="1:13" ht="91.5" customHeight="1">
      <c r="A16" s="50" t="s">
        <v>20</v>
      </c>
      <c r="B16" s="14">
        <v>40163</v>
      </c>
      <c r="C16" s="28">
        <v>45101</v>
      </c>
      <c r="D16" s="26" t="s">
        <v>3</v>
      </c>
      <c r="E16" s="26">
        <v>22132000</v>
      </c>
      <c r="F16" s="26"/>
      <c r="G16" s="107">
        <v>1600</v>
      </c>
      <c r="H16" s="109"/>
      <c r="I16" s="149">
        <v>794.46415999999999</v>
      </c>
      <c r="J16" s="149"/>
      <c r="K16" s="149">
        <f>395400.05161+I16</f>
        <v>396194.51577</v>
      </c>
      <c r="L16" s="149"/>
      <c r="M16" s="80" t="s">
        <v>135</v>
      </c>
    </row>
    <row r="17" spans="1:18" ht="85.5" customHeight="1">
      <c r="A17" s="50" t="s">
        <v>37</v>
      </c>
      <c r="B17" s="14">
        <v>41040</v>
      </c>
      <c r="C17" s="14">
        <v>43797</v>
      </c>
      <c r="D17" s="26" t="s">
        <v>4</v>
      </c>
      <c r="E17" s="26">
        <v>200000</v>
      </c>
      <c r="F17" s="26">
        <v>20000</v>
      </c>
      <c r="G17" s="107">
        <v>52300</v>
      </c>
      <c r="H17" s="109">
        <v>8050</v>
      </c>
      <c r="I17" s="149">
        <v>19532.292000000001</v>
      </c>
      <c r="J17" s="149">
        <v>2695.3515000000002</v>
      </c>
      <c r="K17" s="149">
        <f>299698.79166+I17</f>
        <v>319231.08366</v>
      </c>
      <c r="L17" s="149">
        <f>30995.84934+J17</f>
        <v>33691.200839999998</v>
      </c>
      <c r="M17" s="80" t="s">
        <v>149</v>
      </c>
    </row>
    <row r="18" spans="1:18" s="9" customFormat="1" ht="33.6" customHeight="1">
      <c r="A18" s="212" t="s">
        <v>85</v>
      </c>
      <c r="B18" s="73" t="s">
        <v>110</v>
      </c>
      <c r="C18" s="73" t="s">
        <v>111</v>
      </c>
      <c r="D18" s="74" t="s">
        <v>4</v>
      </c>
      <c r="E18" s="74">
        <v>16000</v>
      </c>
      <c r="F18" s="74"/>
      <c r="G18" s="169">
        <v>45600</v>
      </c>
      <c r="H18" s="175"/>
      <c r="I18" s="169"/>
      <c r="J18" s="169"/>
      <c r="K18" s="169">
        <f>125.74445+I18</f>
        <v>125.74445</v>
      </c>
      <c r="L18" s="169"/>
      <c r="M18" s="226" t="s">
        <v>159</v>
      </c>
    </row>
    <row r="19" spans="1:18" s="9" customFormat="1" ht="55.5" customHeight="1">
      <c r="A19" s="213"/>
      <c r="B19" s="73"/>
      <c r="C19" s="73"/>
      <c r="D19" s="74"/>
      <c r="E19" s="74"/>
      <c r="F19" s="74"/>
      <c r="G19" s="171"/>
      <c r="H19" s="176"/>
      <c r="I19" s="171"/>
      <c r="J19" s="171"/>
      <c r="K19" s="171"/>
      <c r="L19" s="171"/>
      <c r="M19" s="227"/>
    </row>
    <row r="20" spans="1:18" s="9" customFormat="1" ht="60" customHeight="1">
      <c r="A20" s="75" t="s">
        <v>84</v>
      </c>
      <c r="B20" s="95">
        <v>43378</v>
      </c>
      <c r="C20" s="95">
        <v>45657</v>
      </c>
      <c r="D20" s="94" t="s">
        <v>4</v>
      </c>
      <c r="E20" s="94">
        <v>255.297</v>
      </c>
      <c r="F20" s="66"/>
      <c r="G20" s="107">
        <v>63550</v>
      </c>
      <c r="H20" s="66"/>
      <c r="I20" s="146">
        <v>267.71526</v>
      </c>
      <c r="J20" s="66"/>
      <c r="K20" s="145">
        <f>113756.3746+I20</f>
        <v>114024.08985999999</v>
      </c>
      <c r="L20" s="66"/>
      <c r="M20" s="80" t="s">
        <v>160</v>
      </c>
    </row>
    <row r="21" spans="1:18" s="9" customFormat="1" ht="46.5" customHeight="1">
      <c r="A21" s="75" t="s">
        <v>83</v>
      </c>
      <c r="B21" s="210">
        <v>42652</v>
      </c>
      <c r="C21" s="210">
        <v>44539</v>
      </c>
      <c r="D21" s="175" t="s">
        <v>4</v>
      </c>
      <c r="E21" s="175">
        <v>250</v>
      </c>
      <c r="F21" s="66"/>
      <c r="G21" s="107">
        <v>96850</v>
      </c>
      <c r="H21" s="66"/>
      <c r="I21" s="150">
        <v>121.14439</v>
      </c>
      <c r="J21" s="66"/>
      <c r="K21" s="149">
        <f>201682.00984+I21</f>
        <v>201803.15423000001</v>
      </c>
      <c r="L21" s="66"/>
      <c r="M21" s="80" t="s">
        <v>161</v>
      </c>
    </row>
    <row r="22" spans="1:18" s="9" customFormat="1" ht="60" customHeight="1">
      <c r="A22" s="75" t="s">
        <v>82</v>
      </c>
      <c r="B22" s="224"/>
      <c r="C22" s="224"/>
      <c r="D22" s="225"/>
      <c r="E22" s="225"/>
      <c r="F22" s="66"/>
      <c r="G22" s="107">
        <v>48850</v>
      </c>
      <c r="H22" s="66"/>
      <c r="I22" s="66"/>
      <c r="J22" s="66"/>
      <c r="K22" s="145"/>
      <c r="L22" s="66"/>
      <c r="M22" s="80" t="s">
        <v>162</v>
      </c>
    </row>
    <row r="23" spans="1:18" s="9" customFormat="1" ht="55.5" customHeight="1">
      <c r="A23" s="75" t="s">
        <v>152</v>
      </c>
      <c r="B23" s="211"/>
      <c r="C23" s="211"/>
      <c r="D23" s="176"/>
      <c r="E23" s="176"/>
      <c r="F23" s="66"/>
      <c r="G23" s="107">
        <v>48700</v>
      </c>
      <c r="H23" s="66"/>
      <c r="I23" s="145">
        <v>1334.6205399999999</v>
      </c>
      <c r="J23" s="66"/>
      <c r="K23" s="145">
        <f>20357.40381+I23</f>
        <v>21692.02435</v>
      </c>
      <c r="L23" s="66"/>
      <c r="M23" s="80" t="s">
        <v>163</v>
      </c>
    </row>
    <row r="24" spans="1:18" s="9" customFormat="1" ht="69.75" customHeight="1">
      <c r="A24" s="75" t="s">
        <v>81</v>
      </c>
      <c r="B24" s="65"/>
      <c r="C24" s="65"/>
      <c r="D24" s="66"/>
      <c r="E24" s="66"/>
      <c r="F24" s="66"/>
      <c r="G24" s="93"/>
      <c r="H24" s="66"/>
      <c r="I24" s="66"/>
      <c r="J24" s="66"/>
      <c r="K24" s="93"/>
      <c r="L24" s="66"/>
      <c r="M24" s="80" t="s">
        <v>153</v>
      </c>
    </row>
    <row r="25" spans="1:18" s="9" customFormat="1" ht="52.5" customHeight="1">
      <c r="A25" s="75" t="s">
        <v>77</v>
      </c>
      <c r="B25" s="65"/>
      <c r="C25" s="65"/>
      <c r="D25" s="66"/>
      <c r="E25" s="66"/>
      <c r="F25" s="66"/>
      <c r="G25" s="93"/>
      <c r="H25" s="66"/>
      <c r="I25" s="66"/>
      <c r="J25" s="66"/>
      <c r="K25" s="93"/>
      <c r="L25" s="66"/>
      <c r="M25" s="80" t="s">
        <v>87</v>
      </c>
    </row>
    <row r="26" spans="1:18" s="9" customFormat="1" ht="62.25" customHeight="1">
      <c r="A26" s="75" t="s">
        <v>86</v>
      </c>
      <c r="B26" s="65"/>
      <c r="C26" s="65"/>
      <c r="D26" s="66"/>
      <c r="E26" s="66"/>
      <c r="F26" s="66"/>
      <c r="G26" s="107">
        <v>122275</v>
      </c>
      <c r="H26" s="66"/>
      <c r="I26" s="66"/>
      <c r="J26" s="66"/>
      <c r="K26" s="107"/>
      <c r="L26" s="66"/>
      <c r="M26" s="80" t="s">
        <v>164</v>
      </c>
    </row>
    <row r="27" spans="1:18" s="9" customFormat="1" ht="49.5" customHeight="1">
      <c r="A27" s="75" t="s">
        <v>78</v>
      </c>
      <c r="B27" s="65"/>
      <c r="C27" s="65"/>
      <c r="D27" s="66"/>
      <c r="E27" s="66"/>
      <c r="F27" s="66"/>
      <c r="G27" s="93"/>
      <c r="H27" s="66"/>
      <c r="I27" s="66"/>
      <c r="J27" s="66"/>
      <c r="K27" s="93"/>
      <c r="L27" s="66"/>
      <c r="M27" s="80" t="s">
        <v>165</v>
      </c>
    </row>
    <row r="28" spans="1:18" s="9" customFormat="1" ht="59.25" customHeight="1">
      <c r="A28" s="75" t="s">
        <v>80</v>
      </c>
      <c r="B28" s="65"/>
      <c r="C28" s="65"/>
      <c r="D28" s="66"/>
      <c r="E28" s="66"/>
      <c r="F28" s="66"/>
      <c r="G28" s="93"/>
      <c r="H28" s="66"/>
      <c r="I28" s="66"/>
      <c r="J28" s="66"/>
      <c r="K28" s="93"/>
      <c r="L28" s="66"/>
      <c r="M28" s="80" t="s">
        <v>136</v>
      </c>
    </row>
    <row r="29" spans="1:18" s="3" customFormat="1" ht="22.15" customHeight="1">
      <c r="A29" s="197" t="s">
        <v>13</v>
      </c>
      <c r="B29" s="174">
        <v>40990</v>
      </c>
      <c r="C29" s="174">
        <v>43646</v>
      </c>
      <c r="D29" s="72" t="s">
        <v>0</v>
      </c>
      <c r="E29" s="72">
        <v>25800</v>
      </c>
      <c r="F29" s="160"/>
      <c r="G29" s="160">
        <v>2300</v>
      </c>
      <c r="H29" s="161"/>
      <c r="I29" s="160">
        <v>1025.68175</v>
      </c>
      <c r="J29" s="165"/>
      <c r="K29" s="160">
        <f>126586.68242+I29</f>
        <v>127612.36417</v>
      </c>
      <c r="L29" s="160"/>
      <c r="M29" s="156" t="s">
        <v>116</v>
      </c>
      <c r="N29" s="1"/>
      <c r="O29" s="1"/>
      <c r="P29" s="1"/>
      <c r="Q29" s="1"/>
      <c r="R29" s="1"/>
    </row>
    <row r="30" spans="1:18" s="3" customFormat="1" ht="27" customHeight="1">
      <c r="A30" s="197"/>
      <c r="B30" s="174"/>
      <c r="C30" s="174"/>
      <c r="D30" s="72" t="s">
        <v>1</v>
      </c>
      <c r="E30" s="72">
        <v>30000</v>
      </c>
      <c r="F30" s="160"/>
      <c r="G30" s="160"/>
      <c r="H30" s="161"/>
      <c r="I30" s="160"/>
      <c r="J30" s="165"/>
      <c r="K30" s="160"/>
      <c r="L30" s="160"/>
      <c r="M30" s="156"/>
      <c r="N30" s="1"/>
      <c r="O30" s="1"/>
      <c r="P30" s="1"/>
      <c r="Q30" s="1"/>
      <c r="R30" s="1"/>
    </row>
    <row r="31" spans="1:18" s="3" customFormat="1" ht="60" customHeight="1">
      <c r="A31" s="60" t="s">
        <v>66</v>
      </c>
      <c r="B31" s="48">
        <v>41829</v>
      </c>
      <c r="C31" s="48">
        <v>44012</v>
      </c>
      <c r="D31" s="72" t="s">
        <v>1</v>
      </c>
      <c r="E31" s="72">
        <v>75000</v>
      </c>
      <c r="F31" s="26"/>
      <c r="G31" s="107">
        <v>32000</v>
      </c>
      <c r="H31" s="109"/>
      <c r="I31" s="149">
        <v>23812.809089999999</v>
      </c>
      <c r="J31" s="149"/>
      <c r="K31" s="149">
        <f>111232.66285+I31</f>
        <v>135045.47193999999</v>
      </c>
      <c r="L31" s="149"/>
      <c r="M31" s="80" t="s">
        <v>147</v>
      </c>
      <c r="N31" s="1"/>
      <c r="O31" s="1"/>
      <c r="P31" s="1"/>
      <c r="Q31" s="1"/>
      <c r="R31" s="1"/>
    </row>
    <row r="32" spans="1:18" s="3" customFormat="1" ht="108.75" customHeight="1">
      <c r="A32" s="60" t="s">
        <v>48</v>
      </c>
      <c r="B32" s="48">
        <v>42457</v>
      </c>
      <c r="C32" s="48">
        <v>44561</v>
      </c>
      <c r="D32" s="72" t="s">
        <v>1</v>
      </c>
      <c r="E32" s="72">
        <v>40000</v>
      </c>
      <c r="F32" s="26"/>
      <c r="G32" s="107">
        <v>20000</v>
      </c>
      <c r="H32" s="109"/>
      <c r="I32" s="149">
        <v>6067.3238199999996</v>
      </c>
      <c r="J32" s="149"/>
      <c r="K32" s="149">
        <f>31603.92074+I32</f>
        <v>37671.244559999999</v>
      </c>
      <c r="L32" s="149"/>
      <c r="M32" s="80" t="s">
        <v>166</v>
      </c>
      <c r="N32" s="1"/>
      <c r="O32" s="1"/>
      <c r="P32" s="1"/>
      <c r="Q32" s="1"/>
      <c r="R32" s="1"/>
    </row>
    <row r="33" spans="1:18" s="3" customFormat="1" ht="74.25" customHeight="1">
      <c r="A33" s="75" t="s">
        <v>79</v>
      </c>
      <c r="B33" s="48" t="s">
        <v>74</v>
      </c>
      <c r="C33" s="48" t="s">
        <v>137</v>
      </c>
      <c r="D33" s="72" t="s">
        <v>1</v>
      </c>
      <c r="E33" s="72">
        <v>80000</v>
      </c>
      <c r="F33" s="69"/>
      <c r="G33" s="109">
        <v>15400</v>
      </c>
      <c r="H33" s="109"/>
      <c r="I33" s="150">
        <v>6223.8082999999997</v>
      </c>
      <c r="J33" s="150"/>
      <c r="K33" s="149">
        <f>15769.12805+I33</f>
        <v>21992.93635</v>
      </c>
      <c r="L33" s="150"/>
      <c r="M33" s="80" t="s">
        <v>167</v>
      </c>
      <c r="N33" s="91"/>
      <c r="O33" s="1"/>
      <c r="P33" s="1"/>
      <c r="Q33" s="1"/>
      <c r="R33" s="1"/>
    </row>
    <row r="34" spans="1:18" s="3" customFormat="1" ht="61.5" customHeight="1">
      <c r="A34" s="56" t="s">
        <v>44</v>
      </c>
      <c r="B34" s="14">
        <v>42752</v>
      </c>
      <c r="C34" s="14">
        <v>44196</v>
      </c>
      <c r="D34" s="26" t="s">
        <v>43</v>
      </c>
      <c r="E34" s="26">
        <v>8000</v>
      </c>
      <c r="F34" s="26"/>
      <c r="G34" s="107">
        <v>9200</v>
      </c>
      <c r="H34" s="109"/>
      <c r="I34" s="149">
        <v>381.89821000000001</v>
      </c>
      <c r="J34" s="149"/>
      <c r="K34" s="149">
        <f>795.30622+I34</f>
        <v>1177.20443</v>
      </c>
      <c r="L34" s="149"/>
      <c r="M34" s="80" t="s">
        <v>168</v>
      </c>
      <c r="N34" s="1"/>
      <c r="O34" s="1"/>
      <c r="P34" s="1"/>
      <c r="Q34" s="1"/>
      <c r="R34" s="1"/>
    </row>
    <row r="35" spans="1:18" s="3" customFormat="1" ht="57" customHeight="1" thickBot="1">
      <c r="A35" s="124" t="s">
        <v>45</v>
      </c>
      <c r="B35" s="125">
        <v>42734</v>
      </c>
      <c r="C35" s="125">
        <v>43830</v>
      </c>
      <c r="D35" s="126" t="s">
        <v>4</v>
      </c>
      <c r="E35" s="126">
        <v>6000</v>
      </c>
      <c r="F35" s="126"/>
      <c r="G35" s="126">
        <v>2700</v>
      </c>
      <c r="H35" s="127"/>
      <c r="I35" s="31">
        <v>295.36095999999998</v>
      </c>
      <c r="J35" s="31"/>
      <c r="K35" s="31">
        <f>137.055+I35</f>
        <v>432.41595999999998</v>
      </c>
      <c r="L35" s="31"/>
      <c r="M35" s="128" t="s">
        <v>155</v>
      </c>
      <c r="N35" s="1"/>
      <c r="O35" s="1"/>
      <c r="P35" s="1"/>
      <c r="Q35" s="1"/>
      <c r="R35" s="1"/>
    </row>
    <row r="36" spans="1:18" s="7" customFormat="1" ht="30" customHeight="1" thickBot="1">
      <c r="A36" s="162" t="s">
        <v>7</v>
      </c>
      <c r="B36" s="163"/>
      <c r="C36" s="163"/>
      <c r="D36" s="163"/>
      <c r="E36" s="163"/>
      <c r="F36" s="164"/>
      <c r="G36" s="38">
        <f>SUM(G37:G53)</f>
        <v>211480</v>
      </c>
      <c r="H36" s="38">
        <f t="shared" ref="H36:L36" si="1">SUM(H37:H53)</f>
        <v>7100</v>
      </c>
      <c r="I36" s="38">
        <f t="shared" si="1"/>
        <v>68899.728699999992</v>
      </c>
      <c r="J36" s="38">
        <f t="shared" si="1"/>
        <v>2995.87102</v>
      </c>
      <c r="K36" s="38">
        <f t="shared" si="1"/>
        <v>839984.38186000008</v>
      </c>
      <c r="L36" s="38">
        <f t="shared" si="1"/>
        <v>17884.896949999998</v>
      </c>
      <c r="M36" s="87"/>
    </row>
    <row r="37" spans="1:18" ht="72.75" customHeight="1">
      <c r="A37" s="55" t="s">
        <v>22</v>
      </c>
      <c r="B37" s="57">
        <v>41869</v>
      </c>
      <c r="C37" s="57">
        <v>44316</v>
      </c>
      <c r="D37" s="54" t="s">
        <v>1</v>
      </c>
      <c r="E37" s="54">
        <v>30000</v>
      </c>
      <c r="F37" s="54">
        <v>5000</v>
      </c>
      <c r="G37" s="32">
        <v>8800</v>
      </c>
      <c r="H37" s="67">
        <v>3600</v>
      </c>
      <c r="I37" s="32">
        <v>4644.6277899999995</v>
      </c>
      <c r="J37" s="67">
        <v>2635.2765100000001</v>
      </c>
      <c r="K37" s="32">
        <f>42550.40846+I37</f>
        <v>47195.036249999997</v>
      </c>
      <c r="L37" s="32">
        <f>4758.74569+J37</f>
        <v>7394.0221999999994</v>
      </c>
      <c r="M37" s="85" t="s">
        <v>90</v>
      </c>
    </row>
    <row r="38" spans="1:18" ht="75.75" customHeight="1">
      <c r="A38" s="56" t="s">
        <v>14</v>
      </c>
      <c r="B38" s="51">
        <v>40227</v>
      </c>
      <c r="C38" s="28">
        <v>44196</v>
      </c>
      <c r="D38" s="52" t="s">
        <v>4</v>
      </c>
      <c r="E38" s="52">
        <v>3000</v>
      </c>
      <c r="F38" s="52"/>
      <c r="G38" s="137">
        <v>3000</v>
      </c>
      <c r="H38" s="116"/>
      <c r="I38" s="154">
        <v>1132.24335</v>
      </c>
      <c r="J38" s="154"/>
      <c r="K38" s="154">
        <f>74.757+I38</f>
        <v>1207.00035</v>
      </c>
      <c r="L38" s="154"/>
      <c r="M38" s="80" t="s">
        <v>91</v>
      </c>
    </row>
    <row r="39" spans="1:18" ht="87" customHeight="1">
      <c r="A39" s="56" t="s">
        <v>38</v>
      </c>
      <c r="B39" s="51">
        <v>41621</v>
      </c>
      <c r="C39" s="51">
        <v>44926</v>
      </c>
      <c r="D39" s="52" t="s">
        <v>4</v>
      </c>
      <c r="E39" s="52">
        <v>20000</v>
      </c>
      <c r="F39" s="52">
        <v>2000</v>
      </c>
      <c r="G39" s="137">
        <v>15000</v>
      </c>
      <c r="H39" s="116">
        <v>1000</v>
      </c>
      <c r="I39" s="154"/>
      <c r="J39" s="154"/>
      <c r="K39" s="33">
        <f>7439.85874+I39</f>
        <v>7439.8587399999997</v>
      </c>
      <c r="L39" s="154">
        <f>4849.88963+J39</f>
        <v>4849.8896299999997</v>
      </c>
      <c r="M39" s="80" t="s">
        <v>138</v>
      </c>
    </row>
    <row r="40" spans="1:18" ht="59.45" customHeight="1">
      <c r="A40" s="220" t="s">
        <v>67</v>
      </c>
      <c r="B40" s="159">
        <v>40350</v>
      </c>
      <c r="C40" s="159">
        <v>44030</v>
      </c>
      <c r="D40" s="52" t="s">
        <v>0</v>
      </c>
      <c r="E40" s="52">
        <f>57986+10639</f>
        <v>68625</v>
      </c>
      <c r="F40" s="160"/>
      <c r="G40" s="193">
        <v>59650</v>
      </c>
      <c r="H40" s="195"/>
      <c r="I40" s="192">
        <v>25638.007799999999</v>
      </c>
      <c r="J40" s="192"/>
      <c r="K40" s="218">
        <f>358756.19854+I40</f>
        <v>384394.20634000003</v>
      </c>
      <c r="L40" s="192"/>
      <c r="M40" s="156" t="s">
        <v>139</v>
      </c>
    </row>
    <row r="41" spans="1:18" ht="107.25" customHeight="1">
      <c r="A41" s="220"/>
      <c r="B41" s="159"/>
      <c r="C41" s="159"/>
      <c r="D41" s="52" t="s">
        <v>1</v>
      </c>
      <c r="E41" s="52">
        <f>48886+73000+20000</f>
        <v>141886</v>
      </c>
      <c r="F41" s="160"/>
      <c r="G41" s="194"/>
      <c r="H41" s="195"/>
      <c r="I41" s="192"/>
      <c r="J41" s="192"/>
      <c r="K41" s="219"/>
      <c r="L41" s="192"/>
      <c r="M41" s="156"/>
    </row>
    <row r="42" spans="1:18" ht="104.25" customHeight="1">
      <c r="A42" s="58" t="s">
        <v>49</v>
      </c>
      <c r="B42" s="51">
        <v>40996</v>
      </c>
      <c r="C42" s="51">
        <v>43403</v>
      </c>
      <c r="D42" s="52" t="s">
        <v>1</v>
      </c>
      <c r="E42" s="52">
        <v>60000</v>
      </c>
      <c r="F42" s="52"/>
      <c r="G42" s="137">
        <v>30</v>
      </c>
      <c r="H42" s="116"/>
      <c r="I42" s="137"/>
      <c r="J42" s="34"/>
      <c r="K42" s="137">
        <f>102881.35442+I42</f>
        <v>102881.35442</v>
      </c>
      <c r="L42" s="137"/>
      <c r="M42" s="80" t="s">
        <v>92</v>
      </c>
    </row>
    <row r="43" spans="1:18" ht="27.6" customHeight="1">
      <c r="A43" s="220" t="s">
        <v>15</v>
      </c>
      <c r="B43" s="159">
        <v>41222</v>
      </c>
      <c r="C43" s="159">
        <v>43830</v>
      </c>
      <c r="D43" s="52" t="s">
        <v>0</v>
      </c>
      <c r="E43" s="52">
        <v>19800</v>
      </c>
      <c r="F43" s="52"/>
      <c r="G43" s="192">
        <v>8500</v>
      </c>
      <c r="H43" s="195"/>
      <c r="I43" s="192">
        <v>7602.3985000000002</v>
      </c>
      <c r="J43" s="192"/>
      <c r="K43" s="192">
        <f>57667.72863+I43</f>
        <v>65270.127130000001</v>
      </c>
      <c r="L43" s="192"/>
      <c r="M43" s="156" t="s">
        <v>109</v>
      </c>
    </row>
    <row r="44" spans="1:18" ht="39.75" customHeight="1">
      <c r="A44" s="220"/>
      <c r="B44" s="159"/>
      <c r="C44" s="159"/>
      <c r="D44" s="52" t="s">
        <v>1</v>
      </c>
      <c r="E44" s="52">
        <v>9000</v>
      </c>
      <c r="F44" s="52"/>
      <c r="G44" s="192"/>
      <c r="H44" s="195"/>
      <c r="I44" s="192"/>
      <c r="J44" s="192"/>
      <c r="K44" s="192"/>
      <c r="L44" s="192"/>
      <c r="M44" s="156"/>
    </row>
    <row r="45" spans="1:18" ht="59.25" customHeight="1">
      <c r="A45" s="58" t="s">
        <v>33</v>
      </c>
      <c r="B45" s="51">
        <v>42223</v>
      </c>
      <c r="C45" s="51">
        <v>43830</v>
      </c>
      <c r="D45" s="52" t="s">
        <v>1</v>
      </c>
      <c r="E45" s="52">
        <v>60000</v>
      </c>
      <c r="F45" s="52"/>
      <c r="G45" s="137">
        <v>24000</v>
      </c>
      <c r="H45" s="116"/>
      <c r="I45" s="154">
        <v>7617.6431899999998</v>
      </c>
      <c r="J45" s="154"/>
      <c r="K45" s="154">
        <f>31101.72865+I45</f>
        <v>38719.37184</v>
      </c>
      <c r="L45" s="154"/>
      <c r="M45" s="80" t="s">
        <v>93</v>
      </c>
    </row>
    <row r="46" spans="1:18" ht="63" customHeight="1">
      <c r="A46" s="56" t="s">
        <v>34</v>
      </c>
      <c r="B46" s="51">
        <v>42136</v>
      </c>
      <c r="C46" s="51">
        <v>43963</v>
      </c>
      <c r="D46" s="52" t="s">
        <v>4</v>
      </c>
      <c r="E46" s="52">
        <v>4300</v>
      </c>
      <c r="F46" s="52">
        <v>1843</v>
      </c>
      <c r="G46" s="137">
        <v>1000</v>
      </c>
      <c r="H46" s="116"/>
      <c r="I46" s="154">
        <v>474.85966999999999</v>
      </c>
      <c r="J46" s="154"/>
      <c r="K46" s="154">
        <f>119.7894+I46</f>
        <v>594.64906999999994</v>
      </c>
      <c r="L46" s="154"/>
      <c r="M46" s="80" t="s">
        <v>94</v>
      </c>
    </row>
    <row r="47" spans="1:18" ht="63" customHeight="1">
      <c r="A47" s="56" t="s">
        <v>58</v>
      </c>
      <c r="B47" s="51">
        <v>42563</v>
      </c>
      <c r="C47" s="51">
        <v>43766</v>
      </c>
      <c r="D47" s="52" t="s">
        <v>4</v>
      </c>
      <c r="E47" s="52">
        <v>10000</v>
      </c>
      <c r="F47" s="52">
        <v>2000</v>
      </c>
      <c r="G47" s="137"/>
      <c r="H47" s="116">
        <v>500</v>
      </c>
      <c r="I47" s="154"/>
      <c r="J47" s="154">
        <v>360.59451000000001</v>
      </c>
      <c r="K47" s="154">
        <f>12332.76308+I47</f>
        <v>12332.763080000001</v>
      </c>
      <c r="L47" s="35">
        <f>5280.39061+J47</f>
        <v>5640.9851200000003</v>
      </c>
      <c r="M47" s="80" t="s">
        <v>95</v>
      </c>
    </row>
    <row r="48" spans="1:18" s="3" customFormat="1" ht="71.25" customHeight="1">
      <c r="A48" s="115" t="s">
        <v>126</v>
      </c>
      <c r="B48" s="119">
        <v>43285</v>
      </c>
      <c r="C48" s="120">
        <v>44016</v>
      </c>
      <c r="D48" s="114" t="s">
        <v>4</v>
      </c>
      <c r="E48" s="114">
        <v>2830</v>
      </c>
      <c r="F48" s="114">
        <v>1870</v>
      </c>
      <c r="G48" s="137">
        <v>3000</v>
      </c>
      <c r="H48" s="116">
        <v>1000</v>
      </c>
      <c r="I48" s="155"/>
      <c r="J48" s="144"/>
      <c r="K48" s="155"/>
      <c r="L48" s="155"/>
      <c r="M48" s="80" t="s">
        <v>157</v>
      </c>
      <c r="N48" s="1"/>
      <c r="O48" s="1"/>
      <c r="P48" s="1"/>
      <c r="Q48" s="1"/>
      <c r="R48" s="1"/>
    </row>
    <row r="49" spans="1:18" s="3" customFormat="1" ht="78" customHeight="1">
      <c r="A49" s="56" t="s">
        <v>41</v>
      </c>
      <c r="B49" s="51">
        <v>42411</v>
      </c>
      <c r="C49" s="51">
        <v>44238</v>
      </c>
      <c r="D49" s="52" t="s">
        <v>4</v>
      </c>
      <c r="E49" s="52">
        <v>100000</v>
      </c>
      <c r="F49" s="52"/>
      <c r="G49" s="137">
        <v>59500</v>
      </c>
      <c r="H49" s="116"/>
      <c r="I49" s="154">
        <v>21609.410230000001</v>
      </c>
      <c r="J49" s="154"/>
      <c r="K49" s="154">
        <f>127652.683+I49</f>
        <v>149262.09323</v>
      </c>
      <c r="L49" s="154"/>
      <c r="M49" s="80" t="s">
        <v>96</v>
      </c>
      <c r="N49" s="1"/>
      <c r="O49" s="1"/>
      <c r="P49" s="1"/>
      <c r="Q49" s="1"/>
      <c r="R49" s="1"/>
    </row>
    <row r="50" spans="1:18" s="3" customFormat="1" ht="84" customHeight="1">
      <c r="A50" s="113" t="s">
        <v>61</v>
      </c>
      <c r="B50" s="111">
        <v>42713</v>
      </c>
      <c r="C50" s="111">
        <v>44561</v>
      </c>
      <c r="D50" s="107" t="s">
        <v>4</v>
      </c>
      <c r="E50" s="107">
        <v>100000</v>
      </c>
      <c r="F50" s="107"/>
      <c r="G50" s="137">
        <v>8000</v>
      </c>
      <c r="H50" s="116"/>
      <c r="I50" s="147"/>
      <c r="J50" s="147"/>
      <c r="K50" s="147"/>
      <c r="L50" s="147"/>
      <c r="M50" s="118" t="s">
        <v>140</v>
      </c>
      <c r="N50" s="1"/>
      <c r="O50" s="1"/>
      <c r="P50" s="1"/>
      <c r="Q50" s="1"/>
      <c r="R50" s="1"/>
    </row>
    <row r="51" spans="1:18" s="3" customFormat="1" ht="110.25" customHeight="1">
      <c r="A51" s="132" t="s">
        <v>145</v>
      </c>
      <c r="B51" s="130">
        <v>41884</v>
      </c>
      <c r="C51" s="130">
        <v>43830</v>
      </c>
      <c r="D51" s="129" t="s">
        <v>4</v>
      </c>
      <c r="E51" s="129">
        <v>13200</v>
      </c>
      <c r="F51" s="129"/>
      <c r="G51" s="137"/>
      <c r="H51" s="131"/>
      <c r="I51" s="147">
        <v>180.53817000000001</v>
      </c>
      <c r="J51" s="34"/>
      <c r="K51" s="147">
        <f>30507.38324+I51</f>
        <v>30687.921409999999</v>
      </c>
      <c r="L51" s="147"/>
      <c r="M51" s="138" t="s">
        <v>146</v>
      </c>
      <c r="N51" s="1"/>
      <c r="O51" s="1"/>
      <c r="P51" s="1"/>
      <c r="Q51" s="1"/>
      <c r="R51" s="1"/>
    </row>
    <row r="52" spans="1:18" s="3" customFormat="1" ht="86.25" customHeight="1">
      <c r="A52" s="113" t="s">
        <v>127</v>
      </c>
      <c r="B52" s="119">
        <v>43035</v>
      </c>
      <c r="C52" s="119">
        <v>44925</v>
      </c>
      <c r="D52" s="114" t="s">
        <v>4</v>
      </c>
      <c r="E52" s="114">
        <v>30000</v>
      </c>
      <c r="F52" s="114">
        <v>2000</v>
      </c>
      <c r="G52" s="137">
        <v>1000</v>
      </c>
      <c r="H52" s="116">
        <v>1000</v>
      </c>
      <c r="I52" s="114"/>
      <c r="J52" s="114"/>
      <c r="K52" s="114"/>
      <c r="L52" s="114"/>
      <c r="M52" s="118" t="s">
        <v>150</v>
      </c>
      <c r="N52" s="1"/>
      <c r="O52" s="1"/>
      <c r="P52" s="1"/>
      <c r="Q52" s="1"/>
      <c r="R52" s="1"/>
    </row>
    <row r="53" spans="1:18" s="3" customFormat="1" ht="96" customHeight="1" thickBot="1">
      <c r="A53" s="113" t="s">
        <v>128</v>
      </c>
      <c r="B53" s="121">
        <v>27.112017999999999</v>
      </c>
      <c r="C53" s="121">
        <v>27.112020999999999</v>
      </c>
      <c r="D53" s="62" t="s">
        <v>4</v>
      </c>
      <c r="E53" s="62">
        <v>15000</v>
      </c>
      <c r="F53" s="62"/>
      <c r="G53" s="62">
        <v>20000</v>
      </c>
      <c r="H53" s="70"/>
      <c r="I53" s="62"/>
      <c r="J53" s="62"/>
      <c r="K53" s="63"/>
      <c r="L53" s="62"/>
      <c r="M53" s="118" t="s">
        <v>144</v>
      </c>
      <c r="N53" s="1"/>
      <c r="O53" s="1"/>
      <c r="P53" s="1"/>
      <c r="Q53" s="1"/>
      <c r="R53" s="1"/>
    </row>
    <row r="54" spans="1:18" s="7" customFormat="1" ht="23.25" customHeight="1" thickBot="1">
      <c r="A54" s="215" t="s">
        <v>8</v>
      </c>
      <c r="B54" s="216"/>
      <c r="C54" s="216"/>
      <c r="D54" s="216"/>
      <c r="E54" s="216"/>
      <c r="F54" s="217"/>
      <c r="G54" s="36">
        <f>SUM(G55:G62)</f>
        <v>156290</v>
      </c>
      <c r="H54" s="36">
        <f t="shared" ref="H54:L54" si="2">SUM(H55:H62)</f>
        <v>11695</v>
      </c>
      <c r="I54" s="36">
        <f>SUM(I55:I62)</f>
        <v>107079.09049</v>
      </c>
      <c r="J54" s="36">
        <f t="shared" si="2"/>
        <v>9333.8786999999993</v>
      </c>
      <c r="K54" s="36">
        <f t="shared" si="2"/>
        <v>774452.56507399993</v>
      </c>
      <c r="L54" s="36">
        <f t="shared" si="2"/>
        <v>106954.30079000001</v>
      </c>
      <c r="M54" s="86"/>
    </row>
    <row r="55" spans="1:18" ht="56.25" customHeight="1">
      <c r="A55" s="55" t="s">
        <v>62</v>
      </c>
      <c r="B55" s="57">
        <v>39626</v>
      </c>
      <c r="C55" s="57">
        <v>43373</v>
      </c>
      <c r="D55" s="54" t="s">
        <v>4</v>
      </c>
      <c r="E55" s="54">
        <v>3700</v>
      </c>
      <c r="F55" s="54">
        <v>1814</v>
      </c>
      <c r="G55" s="106">
        <v>1500</v>
      </c>
      <c r="H55" s="108"/>
      <c r="I55" s="148">
        <v>342.8655</v>
      </c>
      <c r="J55" s="153"/>
      <c r="K55" s="148">
        <f>6580.461404+I55</f>
        <v>6923.3269039999996</v>
      </c>
      <c r="L55" s="148">
        <f>3649.68102+J55</f>
        <v>3649.68102</v>
      </c>
      <c r="M55" s="85" t="s">
        <v>97</v>
      </c>
    </row>
    <row r="56" spans="1:18" ht="182.45" customHeight="1">
      <c r="A56" s="158" t="s">
        <v>51</v>
      </c>
      <c r="B56" s="159">
        <v>40673</v>
      </c>
      <c r="C56" s="159">
        <v>44284</v>
      </c>
      <c r="D56" s="52" t="s">
        <v>0</v>
      </c>
      <c r="E56" s="52">
        <f>51343+25047+64205+23005</f>
        <v>163600</v>
      </c>
      <c r="F56" s="160"/>
      <c r="G56" s="160">
        <v>122700</v>
      </c>
      <c r="H56" s="161"/>
      <c r="I56" s="161">
        <v>79556.772949999999</v>
      </c>
      <c r="J56" s="165"/>
      <c r="K56" s="160">
        <f>491362.10463+I56</f>
        <v>570918.87757999997</v>
      </c>
      <c r="L56" s="160"/>
      <c r="M56" s="156" t="s">
        <v>169</v>
      </c>
    </row>
    <row r="57" spans="1:18" ht="258" customHeight="1">
      <c r="A57" s="158"/>
      <c r="B57" s="159"/>
      <c r="C57" s="159"/>
      <c r="D57" s="52" t="s">
        <v>1</v>
      </c>
      <c r="E57" s="52">
        <f>108000+43000+99000</f>
        <v>250000</v>
      </c>
      <c r="F57" s="160"/>
      <c r="G57" s="160"/>
      <c r="H57" s="161"/>
      <c r="I57" s="161"/>
      <c r="J57" s="165"/>
      <c r="K57" s="160"/>
      <c r="L57" s="160"/>
      <c r="M57" s="156"/>
    </row>
    <row r="58" spans="1:18" ht="72.75" customHeight="1">
      <c r="A58" s="78" t="s">
        <v>76</v>
      </c>
      <c r="B58" s="77" t="s">
        <v>75</v>
      </c>
      <c r="C58" s="77">
        <v>44119</v>
      </c>
      <c r="D58" s="74" t="s">
        <v>4</v>
      </c>
      <c r="E58" s="76">
        <v>100</v>
      </c>
      <c r="F58" s="76"/>
      <c r="G58" s="107"/>
      <c r="H58" s="109">
        <v>2500</v>
      </c>
      <c r="I58" s="66"/>
      <c r="J58" s="88"/>
      <c r="K58" s="149">
        <f>35.07802+I58</f>
        <v>35.078020000000002</v>
      </c>
      <c r="L58" s="66"/>
      <c r="M58" s="80" t="s">
        <v>141</v>
      </c>
    </row>
    <row r="59" spans="1:18" ht="149.25" customHeight="1">
      <c r="A59" s="56" t="s">
        <v>50</v>
      </c>
      <c r="B59" s="51">
        <v>40773</v>
      </c>
      <c r="C59" s="51">
        <v>44284</v>
      </c>
      <c r="D59" s="53" t="s">
        <v>4</v>
      </c>
      <c r="E59" s="53">
        <f>2988.339+4000+20000</f>
        <v>26988.339</v>
      </c>
      <c r="F59" s="53">
        <f>4500+6728.536+9000+4000+7000</f>
        <v>31228.536</v>
      </c>
      <c r="G59" s="107">
        <v>18400</v>
      </c>
      <c r="H59" s="109">
        <v>2850</v>
      </c>
      <c r="I59" s="152">
        <v>8697.8043300000008</v>
      </c>
      <c r="J59" s="152">
        <v>4738.1338100000003</v>
      </c>
      <c r="K59" s="149">
        <f>46200.7648+I59</f>
        <v>54898.569129999996</v>
      </c>
      <c r="L59" s="152">
        <f>57507.50654+J59</f>
        <v>62245.640350000001</v>
      </c>
      <c r="M59" s="80" t="s">
        <v>98</v>
      </c>
    </row>
    <row r="60" spans="1:18" ht="55.5" customHeight="1">
      <c r="A60" s="56" t="s">
        <v>47</v>
      </c>
      <c r="B60" s="51">
        <v>42360</v>
      </c>
      <c r="C60" s="51">
        <v>44012</v>
      </c>
      <c r="D60" s="52" t="s">
        <v>4</v>
      </c>
      <c r="E60" s="52">
        <v>30000</v>
      </c>
      <c r="F60" s="52">
        <v>2000</v>
      </c>
      <c r="G60" s="107">
        <v>9690</v>
      </c>
      <c r="H60" s="109">
        <v>4345</v>
      </c>
      <c r="I60" s="149">
        <v>12845.438410000001</v>
      </c>
      <c r="J60" s="149">
        <v>220.72931</v>
      </c>
      <c r="K60" s="149">
        <f>34681.49112+I60</f>
        <v>47526.929530000001</v>
      </c>
      <c r="L60" s="149">
        <f>3499.04143+J60</f>
        <v>3719.7707400000004</v>
      </c>
      <c r="M60" s="80" t="s">
        <v>99</v>
      </c>
    </row>
    <row r="61" spans="1:18" ht="57" customHeight="1">
      <c r="A61" s="56" t="s">
        <v>59</v>
      </c>
      <c r="B61" s="51">
        <v>41506</v>
      </c>
      <c r="C61" s="28">
        <v>43332</v>
      </c>
      <c r="D61" s="52" t="s">
        <v>4</v>
      </c>
      <c r="E61" s="52">
        <v>40000</v>
      </c>
      <c r="F61" s="52">
        <v>8000</v>
      </c>
      <c r="G61" s="107">
        <v>4000</v>
      </c>
      <c r="H61" s="109">
        <v>700</v>
      </c>
      <c r="I61" s="149">
        <v>5636.2093000000004</v>
      </c>
      <c r="J61" s="152">
        <v>1456.9851799999999</v>
      </c>
      <c r="K61" s="149">
        <f>88513.57461+I61</f>
        <v>94149.783909999998</v>
      </c>
      <c r="L61" s="149">
        <f>17820.5113+J61</f>
        <v>19277.496479999998</v>
      </c>
      <c r="M61" s="80" t="s">
        <v>100</v>
      </c>
    </row>
    <row r="62" spans="1:18" ht="55.5" customHeight="1" thickBot="1">
      <c r="A62" s="29" t="s">
        <v>52</v>
      </c>
      <c r="B62" s="30">
        <v>41480</v>
      </c>
      <c r="C62" s="30">
        <v>43889</v>
      </c>
      <c r="D62" s="31" t="s">
        <v>1</v>
      </c>
      <c r="E62" s="31"/>
      <c r="F62" s="31">
        <v>10052.155000000001</v>
      </c>
      <c r="G62" s="31"/>
      <c r="H62" s="68">
        <v>1300</v>
      </c>
      <c r="I62" s="31"/>
      <c r="J62" s="37">
        <v>2918.0304000000001</v>
      </c>
      <c r="K62" s="31"/>
      <c r="L62" s="31">
        <f>15143.6818+J62</f>
        <v>18061.712200000002</v>
      </c>
      <c r="M62" s="84" t="s">
        <v>73</v>
      </c>
    </row>
    <row r="63" spans="1:18" s="7" customFormat="1" ht="30" customHeight="1" thickBot="1">
      <c r="A63" s="162" t="s">
        <v>25</v>
      </c>
      <c r="B63" s="163"/>
      <c r="C63" s="163"/>
      <c r="D63" s="163"/>
      <c r="E63" s="163"/>
      <c r="F63" s="164"/>
      <c r="G63" s="38">
        <f>SUM(G64:G75)</f>
        <v>86600</v>
      </c>
      <c r="H63" s="38">
        <f t="shared" ref="H63:L63" si="3">SUM(H64:H75)</f>
        <v>14000</v>
      </c>
      <c r="I63" s="38">
        <f t="shared" si="3"/>
        <v>5998.7963400000008</v>
      </c>
      <c r="J63" s="38">
        <f t="shared" si="3"/>
        <v>0</v>
      </c>
      <c r="K63" s="38">
        <f t="shared" si="3"/>
        <v>264202.52190500003</v>
      </c>
      <c r="L63" s="38">
        <f t="shared" si="3"/>
        <v>20950.680079999998</v>
      </c>
      <c r="M63" s="87"/>
    </row>
    <row r="64" spans="1:18" ht="98.25" customHeight="1">
      <c r="A64" s="89" t="s">
        <v>88</v>
      </c>
      <c r="B64" s="90">
        <v>43105</v>
      </c>
      <c r="C64" s="90" t="s">
        <v>89</v>
      </c>
      <c r="D64" s="79" t="s">
        <v>4</v>
      </c>
      <c r="E64" s="79">
        <v>28000</v>
      </c>
      <c r="F64" s="79">
        <v>7000</v>
      </c>
      <c r="G64" s="106">
        <v>15000</v>
      </c>
      <c r="H64" s="108">
        <v>10000</v>
      </c>
      <c r="I64" s="140">
        <v>356.97039999999998</v>
      </c>
      <c r="J64" s="71"/>
      <c r="K64" s="139">
        <f>2588.27771+I64</f>
        <v>2945.24811</v>
      </c>
      <c r="L64" s="139"/>
      <c r="M64" s="85" t="s">
        <v>112</v>
      </c>
    </row>
    <row r="65" spans="1:13" ht="49.5" customHeight="1">
      <c r="A65" s="58" t="s">
        <v>39</v>
      </c>
      <c r="B65" s="166">
        <v>41572</v>
      </c>
      <c r="C65" s="166">
        <v>43463</v>
      </c>
      <c r="D65" s="169" t="s">
        <v>4</v>
      </c>
      <c r="E65" s="169">
        <f>25200+35000</f>
        <v>60200</v>
      </c>
      <c r="F65" s="52">
        <v>8000</v>
      </c>
      <c r="G65" s="107">
        <v>6400</v>
      </c>
      <c r="H65" s="109"/>
      <c r="I65" s="134">
        <v>666.02692999999999</v>
      </c>
      <c r="J65" s="134"/>
      <c r="K65" s="134">
        <f>92412.661955+I65</f>
        <v>93078.68888500001</v>
      </c>
      <c r="L65" s="134">
        <v>20950.680079999998</v>
      </c>
      <c r="M65" s="156" t="s">
        <v>101</v>
      </c>
    </row>
    <row r="66" spans="1:13" ht="40.5" customHeight="1">
      <c r="A66" s="58" t="s">
        <v>60</v>
      </c>
      <c r="B66" s="167"/>
      <c r="C66" s="167"/>
      <c r="D66" s="170"/>
      <c r="E66" s="170"/>
      <c r="F66" s="52"/>
      <c r="G66" s="107">
        <v>4700</v>
      </c>
      <c r="H66" s="109"/>
      <c r="I66" s="134">
        <v>3517.7945300000001</v>
      </c>
      <c r="J66" s="134"/>
      <c r="K66" s="134">
        <v>48737.684800000003</v>
      </c>
      <c r="L66" s="134"/>
      <c r="M66" s="156"/>
    </row>
    <row r="67" spans="1:13" ht="69.75" customHeight="1">
      <c r="A67" s="56" t="s">
        <v>63</v>
      </c>
      <c r="B67" s="168"/>
      <c r="C67" s="168"/>
      <c r="D67" s="171"/>
      <c r="E67" s="171"/>
      <c r="F67" s="52"/>
      <c r="G67" s="93"/>
      <c r="H67" s="94"/>
      <c r="I67" s="134"/>
      <c r="J67" s="135"/>
      <c r="K67" s="134">
        <v>5120.6747100000002</v>
      </c>
      <c r="L67" s="134"/>
      <c r="M67" s="80" t="s">
        <v>102</v>
      </c>
    </row>
    <row r="68" spans="1:13" ht="93" customHeight="1">
      <c r="A68" s="99" t="s">
        <v>117</v>
      </c>
      <c r="B68" s="101">
        <v>42838</v>
      </c>
      <c r="C68" s="101">
        <v>44742</v>
      </c>
      <c r="D68" s="98" t="s">
        <v>4</v>
      </c>
      <c r="E68" s="98">
        <v>125000</v>
      </c>
      <c r="F68" s="96"/>
      <c r="G68" s="107">
        <v>5000</v>
      </c>
      <c r="H68" s="109">
        <v>4000</v>
      </c>
      <c r="I68" s="134"/>
      <c r="J68" s="135"/>
      <c r="K68" s="134"/>
      <c r="L68" s="134"/>
      <c r="M68" s="100" t="s">
        <v>129</v>
      </c>
    </row>
    <row r="69" spans="1:13" ht="96.75" customHeight="1">
      <c r="A69" s="56" t="s">
        <v>40</v>
      </c>
      <c r="B69" s="159">
        <v>41885</v>
      </c>
      <c r="C69" s="159">
        <v>44378</v>
      </c>
      <c r="D69" s="52" t="s">
        <v>1</v>
      </c>
      <c r="E69" s="160">
        <v>60000</v>
      </c>
      <c r="F69" s="52"/>
      <c r="G69" s="107">
        <v>10000</v>
      </c>
      <c r="H69" s="109"/>
      <c r="I69" s="142">
        <v>1458.0044800000001</v>
      </c>
      <c r="J69" s="143"/>
      <c r="K69" s="142">
        <f>112430.30228+I69</f>
        <v>113888.30676000001</v>
      </c>
      <c r="L69" s="142"/>
      <c r="M69" s="80" t="s">
        <v>103</v>
      </c>
    </row>
    <row r="70" spans="1:13" ht="47.25" customHeight="1">
      <c r="A70" s="56" t="s">
        <v>64</v>
      </c>
      <c r="B70" s="159"/>
      <c r="C70" s="159"/>
      <c r="D70" s="52" t="s">
        <v>1</v>
      </c>
      <c r="E70" s="183"/>
      <c r="F70" s="52"/>
      <c r="G70" s="107"/>
      <c r="H70" s="109"/>
      <c r="I70" s="134"/>
      <c r="J70" s="135"/>
      <c r="K70" s="134">
        <f>431.91864+I70</f>
        <v>431.91863999999998</v>
      </c>
      <c r="L70" s="134"/>
      <c r="M70" s="80" t="s">
        <v>104</v>
      </c>
    </row>
    <row r="71" spans="1:13" ht="163.5" customHeight="1">
      <c r="A71" s="99" t="s">
        <v>118</v>
      </c>
      <c r="B71" s="97"/>
      <c r="C71" s="97"/>
      <c r="D71" s="122" t="s">
        <v>4</v>
      </c>
      <c r="E71" s="107"/>
      <c r="F71" s="107"/>
      <c r="G71" s="107">
        <v>13500</v>
      </c>
      <c r="H71" s="109"/>
      <c r="I71" s="107"/>
      <c r="J71" s="112"/>
      <c r="K71" s="107"/>
      <c r="L71" s="96"/>
      <c r="M71" s="100" t="s">
        <v>119</v>
      </c>
    </row>
    <row r="72" spans="1:13" ht="73.5" customHeight="1">
      <c r="A72" s="99" t="s">
        <v>120</v>
      </c>
      <c r="B72" s="97"/>
      <c r="C72" s="97"/>
      <c r="D72" s="122" t="s">
        <v>1</v>
      </c>
      <c r="E72" s="107"/>
      <c r="F72" s="107"/>
      <c r="G72" s="107">
        <v>9000</v>
      </c>
      <c r="H72" s="109"/>
      <c r="I72" s="107"/>
      <c r="J72" s="112"/>
      <c r="K72" s="107"/>
      <c r="L72" s="97"/>
      <c r="M72" s="100" t="s">
        <v>121</v>
      </c>
    </row>
    <row r="73" spans="1:13" ht="104.25" customHeight="1">
      <c r="A73" s="99" t="s">
        <v>122</v>
      </c>
      <c r="B73" s="97"/>
      <c r="C73" s="97"/>
      <c r="D73" s="122" t="s">
        <v>4</v>
      </c>
      <c r="E73" s="107"/>
      <c r="F73" s="107"/>
      <c r="G73" s="107">
        <v>4500</v>
      </c>
      <c r="H73" s="109"/>
      <c r="I73" s="107"/>
      <c r="J73" s="112"/>
      <c r="K73" s="107"/>
      <c r="L73" s="97"/>
      <c r="M73" s="100" t="s">
        <v>123</v>
      </c>
    </row>
    <row r="74" spans="1:13" ht="51" customHeight="1">
      <c r="A74" s="117" t="s">
        <v>131</v>
      </c>
      <c r="B74" s="111"/>
      <c r="C74" s="28"/>
      <c r="D74" s="122" t="s">
        <v>4</v>
      </c>
      <c r="E74" s="107"/>
      <c r="F74" s="107"/>
      <c r="G74" s="107">
        <v>9500</v>
      </c>
      <c r="H74" s="109"/>
      <c r="I74" s="107"/>
      <c r="J74" s="112"/>
      <c r="K74" s="107"/>
      <c r="L74" s="109"/>
      <c r="M74" s="118" t="s">
        <v>133</v>
      </c>
    </row>
    <row r="75" spans="1:13" ht="45" customHeight="1" thickBot="1">
      <c r="A75" s="117" t="s">
        <v>132</v>
      </c>
      <c r="B75" s="111"/>
      <c r="C75" s="28"/>
      <c r="D75" s="122" t="s">
        <v>4</v>
      </c>
      <c r="E75" s="107"/>
      <c r="F75" s="107"/>
      <c r="G75" s="107">
        <v>9000</v>
      </c>
      <c r="H75" s="109"/>
      <c r="I75" s="107"/>
      <c r="J75" s="112"/>
      <c r="K75" s="107"/>
      <c r="L75" s="109"/>
      <c r="M75" s="118" t="s">
        <v>133</v>
      </c>
    </row>
    <row r="76" spans="1:13" s="7" customFormat="1" ht="42.75" customHeight="1" thickBot="1">
      <c r="A76" s="215" t="s">
        <v>26</v>
      </c>
      <c r="B76" s="216"/>
      <c r="C76" s="216"/>
      <c r="D76" s="216"/>
      <c r="E76" s="216"/>
      <c r="F76" s="217"/>
      <c r="G76" s="36">
        <f>G77+G80+G81</f>
        <v>19830</v>
      </c>
      <c r="H76" s="36">
        <f>SUM(H77:H82)</f>
        <v>4310</v>
      </c>
      <c r="I76" s="36">
        <f>SUM(I77:I82)</f>
        <v>11170.532649999999</v>
      </c>
      <c r="J76" s="36">
        <f>SUM(J77:J82)</f>
        <v>2243.87806</v>
      </c>
      <c r="K76" s="36">
        <f>SUM(K77:K82)</f>
        <v>77016.071815999981</v>
      </c>
      <c r="L76" s="36">
        <f>SUM(L77:L82)</f>
        <v>8847.3616000000002</v>
      </c>
      <c r="M76" s="86"/>
    </row>
    <row r="77" spans="1:13" ht="66.599999999999994" customHeight="1">
      <c r="A77" s="181" t="s">
        <v>18</v>
      </c>
      <c r="B77" s="39">
        <v>42052</v>
      </c>
      <c r="C77" s="40">
        <v>44121</v>
      </c>
      <c r="D77" s="54" t="s">
        <v>0</v>
      </c>
      <c r="E77" s="54">
        <v>8610</v>
      </c>
      <c r="F77" s="54"/>
      <c r="G77" s="177">
        <v>6730</v>
      </c>
      <c r="H77" s="182">
        <v>4070</v>
      </c>
      <c r="I77" s="177">
        <v>6805.2087000000001</v>
      </c>
      <c r="J77" s="177">
        <v>2243.87806</v>
      </c>
      <c r="K77" s="177">
        <f>16279.05301+I77</f>
        <v>23084.261709999999</v>
      </c>
      <c r="L77" s="177">
        <f>6102.55654+J77</f>
        <v>8346.4346000000005</v>
      </c>
      <c r="M77" s="178" t="s">
        <v>170</v>
      </c>
    </row>
    <row r="78" spans="1:13" ht="78" customHeight="1">
      <c r="A78" s="158"/>
      <c r="B78" s="28">
        <v>41978</v>
      </c>
      <c r="C78" s="41">
        <v>42735</v>
      </c>
      <c r="D78" s="52" t="s">
        <v>1</v>
      </c>
      <c r="E78" s="52"/>
      <c r="F78" s="52">
        <v>500</v>
      </c>
      <c r="G78" s="160"/>
      <c r="H78" s="161"/>
      <c r="I78" s="160"/>
      <c r="J78" s="160"/>
      <c r="K78" s="160"/>
      <c r="L78" s="160"/>
      <c r="M78" s="179"/>
    </row>
    <row r="79" spans="1:13" ht="196.5" customHeight="1">
      <c r="A79" s="158"/>
      <c r="B79" s="28">
        <v>42052</v>
      </c>
      <c r="C79" s="42">
        <v>43513</v>
      </c>
      <c r="D79" s="52" t="s">
        <v>1</v>
      </c>
      <c r="E79" s="52"/>
      <c r="F79" s="52">
        <v>5300</v>
      </c>
      <c r="G79" s="160"/>
      <c r="H79" s="161"/>
      <c r="I79" s="160"/>
      <c r="J79" s="160"/>
      <c r="K79" s="160"/>
      <c r="L79" s="160"/>
      <c r="M79" s="180"/>
    </row>
    <row r="80" spans="1:13" ht="71.25" customHeight="1">
      <c r="A80" s="158" t="s">
        <v>17</v>
      </c>
      <c r="B80" s="159">
        <v>41964</v>
      </c>
      <c r="C80" s="159">
        <v>44408</v>
      </c>
      <c r="D80" s="165" t="s">
        <v>0</v>
      </c>
      <c r="E80" s="160">
        <v>32400</v>
      </c>
      <c r="F80" s="160"/>
      <c r="G80" s="107">
        <v>11000</v>
      </c>
      <c r="H80" s="107"/>
      <c r="I80" s="149">
        <v>3527.4662899999998</v>
      </c>
      <c r="J80" s="152"/>
      <c r="K80" s="149">
        <f>45181.823066+I80</f>
        <v>48709.289355999994</v>
      </c>
      <c r="L80" s="149"/>
      <c r="M80" s="136" t="s">
        <v>105</v>
      </c>
    </row>
    <row r="81" spans="1:13" ht="66.75" customHeight="1">
      <c r="A81" s="158"/>
      <c r="B81" s="159"/>
      <c r="C81" s="159"/>
      <c r="D81" s="165"/>
      <c r="E81" s="160"/>
      <c r="F81" s="160"/>
      <c r="G81" s="107">
        <v>2100</v>
      </c>
      <c r="H81" s="107"/>
      <c r="I81" s="149">
        <v>837.85766000000001</v>
      </c>
      <c r="J81" s="152"/>
      <c r="K81" s="149">
        <f>4384.66309+I81</f>
        <v>5222.5207499999997</v>
      </c>
      <c r="L81" s="149"/>
      <c r="M81" s="133" t="s">
        <v>106</v>
      </c>
    </row>
    <row r="82" spans="1:13" ht="96.75" customHeight="1" thickBot="1">
      <c r="A82" s="29" t="s">
        <v>21</v>
      </c>
      <c r="B82" s="30">
        <v>41946</v>
      </c>
      <c r="C82" s="43">
        <v>43190</v>
      </c>
      <c r="D82" s="37" t="s">
        <v>4</v>
      </c>
      <c r="E82" s="31"/>
      <c r="F82" s="31">
        <v>861</v>
      </c>
      <c r="G82" s="31"/>
      <c r="H82" s="68">
        <v>240</v>
      </c>
      <c r="I82" s="68"/>
      <c r="J82" s="31"/>
      <c r="K82" s="31"/>
      <c r="L82" s="31">
        <f>500.927+J82</f>
        <v>500.92700000000002</v>
      </c>
      <c r="M82" s="84" t="s">
        <v>142</v>
      </c>
    </row>
    <row r="83" spans="1:13" s="7" customFormat="1" ht="29.25" customHeight="1" thickBot="1">
      <c r="A83" s="162" t="s">
        <v>27</v>
      </c>
      <c r="B83" s="163"/>
      <c r="C83" s="163"/>
      <c r="D83" s="163"/>
      <c r="E83" s="163"/>
      <c r="F83" s="164"/>
      <c r="G83" s="38">
        <f t="shared" ref="G83:L83" si="4">SUM(G84:G85)</f>
        <v>0</v>
      </c>
      <c r="H83" s="38">
        <f t="shared" si="4"/>
        <v>4645</v>
      </c>
      <c r="I83" s="38">
        <f t="shared" si="4"/>
        <v>0</v>
      </c>
      <c r="J83" s="38">
        <f t="shared" si="4"/>
        <v>1441.4933700000001</v>
      </c>
      <c r="K83" s="38">
        <f t="shared" si="4"/>
        <v>0</v>
      </c>
      <c r="L83" s="38">
        <f t="shared" si="4"/>
        <v>23504.327380000002</v>
      </c>
      <c r="M83" s="87"/>
    </row>
    <row r="84" spans="1:13" ht="164.25" customHeight="1">
      <c r="A84" s="55" t="s">
        <v>23</v>
      </c>
      <c r="B84" s="39">
        <v>40119</v>
      </c>
      <c r="C84" s="57">
        <v>43465</v>
      </c>
      <c r="D84" s="54" t="s">
        <v>4</v>
      </c>
      <c r="E84" s="54"/>
      <c r="F84" s="64">
        <v>2267</v>
      </c>
      <c r="G84" s="64"/>
      <c r="H84" s="108">
        <v>1345</v>
      </c>
      <c r="I84" s="141"/>
      <c r="J84" s="153">
        <v>725.90480000000002</v>
      </c>
      <c r="K84" s="148"/>
      <c r="L84" s="148">
        <f>6077.20889+J84</f>
        <v>6803.1136900000001</v>
      </c>
      <c r="M84" s="85" t="s">
        <v>107</v>
      </c>
    </row>
    <row r="85" spans="1:13" ht="191.25" customHeight="1" thickBot="1">
      <c r="A85" s="29" t="s">
        <v>16</v>
      </c>
      <c r="B85" s="43">
        <v>40589</v>
      </c>
      <c r="C85" s="43">
        <v>43100</v>
      </c>
      <c r="D85" s="37" t="s">
        <v>4</v>
      </c>
      <c r="E85" s="31"/>
      <c r="F85" s="31">
        <v>8250</v>
      </c>
      <c r="G85" s="31"/>
      <c r="H85" s="68">
        <v>3300</v>
      </c>
      <c r="I85" s="31"/>
      <c r="J85" s="31">
        <v>715.58857</v>
      </c>
      <c r="K85" s="31"/>
      <c r="L85" s="31">
        <f>15985.62512+J85</f>
        <v>16701.21369</v>
      </c>
      <c r="M85" s="84" t="s">
        <v>108</v>
      </c>
    </row>
    <row r="86" spans="1:13" s="7" customFormat="1" ht="33" customHeight="1" thickBot="1">
      <c r="A86" s="215" t="s">
        <v>5</v>
      </c>
      <c r="B86" s="216"/>
      <c r="C86" s="216"/>
      <c r="D86" s="216"/>
      <c r="E86" s="216"/>
      <c r="F86" s="217"/>
      <c r="G86" s="36">
        <f t="shared" ref="G86:L86" si="5">SUM(G87:G92)</f>
        <v>146300</v>
      </c>
      <c r="H86" s="36">
        <f t="shared" si="5"/>
        <v>42900</v>
      </c>
      <c r="I86" s="36">
        <f t="shared" si="5"/>
        <v>5023.6564900000003</v>
      </c>
      <c r="J86" s="36">
        <f t="shared" si="5"/>
        <v>59051.498760000002</v>
      </c>
      <c r="K86" s="36">
        <f t="shared" si="5"/>
        <v>244421.68674999996</v>
      </c>
      <c r="L86" s="36">
        <f t="shared" si="5"/>
        <v>340850.41075139999</v>
      </c>
      <c r="M86" s="86"/>
    </row>
    <row r="87" spans="1:13" ht="409.6" customHeight="1">
      <c r="A87" s="55" t="s">
        <v>65</v>
      </c>
      <c r="B87" s="39">
        <v>41103</v>
      </c>
      <c r="C87" s="39">
        <v>43767</v>
      </c>
      <c r="D87" s="59" t="s">
        <v>1</v>
      </c>
      <c r="E87" s="54"/>
      <c r="F87" s="54">
        <f>140000+2700</f>
        <v>142700</v>
      </c>
      <c r="G87" s="92"/>
      <c r="H87" s="108">
        <v>38900</v>
      </c>
      <c r="I87" s="148"/>
      <c r="J87" s="153">
        <v>59051.498760000002</v>
      </c>
      <c r="K87" s="148"/>
      <c r="L87" s="148">
        <f>281798.9119914+J87</f>
        <v>340850.41075139999</v>
      </c>
      <c r="M87" s="85" t="s">
        <v>156</v>
      </c>
    </row>
    <row r="88" spans="1:13" ht="72" customHeight="1">
      <c r="A88" s="102" t="s">
        <v>53</v>
      </c>
      <c r="B88" s="51">
        <v>42661</v>
      </c>
      <c r="C88" s="51">
        <v>44377</v>
      </c>
      <c r="D88" s="52" t="s">
        <v>4</v>
      </c>
      <c r="E88" s="52">
        <v>14000</v>
      </c>
      <c r="F88" s="52"/>
      <c r="G88" s="107">
        <v>1500</v>
      </c>
      <c r="H88" s="109">
        <v>1000</v>
      </c>
      <c r="I88" s="149">
        <v>24.3049</v>
      </c>
      <c r="J88" s="149"/>
      <c r="K88" s="149"/>
      <c r="L88" s="27">
        <v>0</v>
      </c>
      <c r="M88" s="80" t="s">
        <v>151</v>
      </c>
    </row>
    <row r="89" spans="1:13" ht="43.5" customHeight="1">
      <c r="A89" s="60" t="s">
        <v>42</v>
      </c>
      <c r="B89" s="48">
        <v>42346</v>
      </c>
      <c r="C89" s="48">
        <v>43228</v>
      </c>
      <c r="D89" s="49" t="s">
        <v>4</v>
      </c>
      <c r="E89" s="49">
        <v>82821</v>
      </c>
      <c r="F89" s="52"/>
      <c r="G89" s="107">
        <v>55000</v>
      </c>
      <c r="H89" s="109"/>
      <c r="I89" s="149"/>
      <c r="J89" s="149"/>
      <c r="K89" s="149">
        <f>226048.34892+I89</f>
        <v>226048.34891999999</v>
      </c>
      <c r="L89" s="149"/>
      <c r="M89" s="80" t="s">
        <v>70</v>
      </c>
    </row>
    <row r="90" spans="1:13" ht="71.25" customHeight="1">
      <c r="A90" s="61" t="s">
        <v>68</v>
      </c>
      <c r="B90" s="48">
        <v>42929</v>
      </c>
      <c r="C90" s="48">
        <v>43830</v>
      </c>
      <c r="D90" s="49" t="s">
        <v>4</v>
      </c>
      <c r="E90" s="49">
        <v>5500</v>
      </c>
      <c r="F90" s="52">
        <v>1500</v>
      </c>
      <c r="G90" s="107">
        <v>4800</v>
      </c>
      <c r="H90" s="109">
        <v>3000</v>
      </c>
      <c r="I90" s="149">
        <v>1017.89769</v>
      </c>
      <c r="J90" s="149"/>
      <c r="K90" s="149">
        <f>8749.28036+I90</f>
        <v>9767.1780500000004</v>
      </c>
      <c r="L90" s="27">
        <v>0</v>
      </c>
      <c r="M90" s="80" t="s">
        <v>143</v>
      </c>
    </row>
    <row r="91" spans="1:13" ht="39.75" customHeight="1">
      <c r="A91" s="61" t="s">
        <v>130</v>
      </c>
      <c r="B91" s="103"/>
      <c r="C91" s="103"/>
      <c r="D91" s="104"/>
      <c r="E91" s="104"/>
      <c r="F91" s="110"/>
      <c r="G91" s="110">
        <v>75000</v>
      </c>
      <c r="H91" s="104"/>
      <c r="I91" s="151"/>
      <c r="J91" s="151"/>
      <c r="K91" s="123"/>
      <c r="L91" s="123"/>
      <c r="M91" s="105" t="s">
        <v>133</v>
      </c>
    </row>
    <row r="92" spans="1:13" s="9" customFormat="1" ht="123" customHeight="1" thickBot="1">
      <c r="A92" s="29" t="s">
        <v>35</v>
      </c>
      <c r="B92" s="43">
        <v>42457</v>
      </c>
      <c r="C92" s="43">
        <v>44316</v>
      </c>
      <c r="D92" s="37" t="s">
        <v>1</v>
      </c>
      <c r="E92" s="31">
        <v>40000</v>
      </c>
      <c r="F92" s="31"/>
      <c r="G92" s="31">
        <v>10000</v>
      </c>
      <c r="H92" s="68"/>
      <c r="I92" s="31">
        <v>3981.4539</v>
      </c>
      <c r="J92" s="31"/>
      <c r="K92" s="31">
        <f>4624.70588+I92</f>
        <v>8606.15978</v>
      </c>
      <c r="L92" s="31"/>
      <c r="M92" s="84" t="s">
        <v>154</v>
      </c>
    </row>
    <row r="93" spans="1:13" s="6" customFormat="1" ht="40.5" customHeight="1" thickBot="1">
      <c r="A93" s="44"/>
      <c r="B93" s="45"/>
      <c r="C93" s="45"/>
      <c r="D93" s="46"/>
      <c r="E93" s="47"/>
      <c r="F93" s="38" t="s">
        <v>28</v>
      </c>
      <c r="G93" s="38">
        <f t="shared" ref="G93:L93" si="6">G86+G83+G76+G63+G54+G36+G7</f>
        <v>1301050</v>
      </c>
      <c r="H93" s="38">
        <f t="shared" si="6"/>
        <v>92700</v>
      </c>
      <c r="I93" s="38">
        <f t="shared" si="6"/>
        <v>307640.23632999999</v>
      </c>
      <c r="J93" s="38">
        <f t="shared" si="6"/>
        <v>77761.971410000013</v>
      </c>
      <c r="K93" s="38">
        <f t="shared" si="6"/>
        <v>4312044.569255</v>
      </c>
      <c r="L93" s="38">
        <f t="shared" si="6"/>
        <v>552683.17839140003</v>
      </c>
      <c r="M93" s="81"/>
    </row>
    <row r="94" spans="1:13" ht="13.5" customHeight="1">
      <c r="A94" s="10"/>
      <c r="B94" s="8"/>
      <c r="C94" s="8"/>
      <c r="D94" s="10"/>
      <c r="E94" s="10"/>
      <c r="F94" s="10"/>
      <c r="G94" s="10"/>
      <c r="H94" s="10"/>
      <c r="I94" s="10"/>
      <c r="J94" s="10"/>
      <c r="K94" s="10"/>
      <c r="L94" s="10"/>
    </row>
    <row r="95" spans="1:13" ht="24.75" customHeight="1">
      <c r="A95" s="214" t="s">
        <v>32</v>
      </c>
      <c r="B95" s="214"/>
      <c r="C95" s="214"/>
      <c r="D95" s="214"/>
      <c r="E95" s="214"/>
      <c r="F95" s="214"/>
      <c r="G95" s="214"/>
      <c r="H95" s="214"/>
      <c r="I95" s="214"/>
      <c r="J95" s="214"/>
      <c r="K95" s="214"/>
      <c r="L95" s="214"/>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G93-'[1]For Website'!$G$95</f>
        <v>0</v>
      </c>
      <c r="H98" s="12">
        <f>H93-'[1]For Website'!$H$95</f>
        <v>0</v>
      </c>
      <c r="I98" s="12">
        <f>I93-'[2]WEB-2019'!$I$93</f>
        <v>0</v>
      </c>
      <c r="J98" s="12">
        <f>J93-'[2]WEB-2019'!$J$93</f>
        <v>0</v>
      </c>
      <c r="K98" s="12">
        <f>K93-'[2]WEB-2019'!$K$93</f>
        <v>0</v>
      </c>
      <c r="L98" s="12">
        <f>L93-'[2]WEB-2019'!$L$93</f>
        <v>0</v>
      </c>
    </row>
    <row r="99" spans="1:12" ht="21.75" customHeight="1">
      <c r="G99" s="11"/>
      <c r="H99" s="12"/>
      <c r="I99" s="12"/>
      <c r="J99" s="12"/>
      <c r="K99" s="12"/>
      <c r="L99" s="12"/>
    </row>
  </sheetData>
  <mergeCells count="140">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L77:L79"/>
    <mergeCell ref="M77:M79"/>
    <mergeCell ref="A77:A79"/>
    <mergeCell ref="G77:G79"/>
    <mergeCell ref="H77:H79"/>
    <mergeCell ref="I77:I79"/>
    <mergeCell ref="J77:J79"/>
    <mergeCell ref="B69:B70"/>
    <mergeCell ref="C69:C70"/>
    <mergeCell ref="E69:E7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s>
  <printOptions horizontalCentered="1"/>
  <pageMargins left="0" right="0" top="0.19685039370078741" bottom="0.23622047244094491" header="0" footer="0"/>
  <pageSetup paperSize="9" scale="37" fitToHeight="0" orientation="landscape" r:id="rId1"/>
  <headerFooter alignWithMargins="0"/>
  <rowBreaks count="2" manualBreakCount="2">
    <brk id="75" max="12" man="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2019-06-27T11:00:07Z</cp:lastPrinted>
  <dcterms:created xsi:type="dcterms:W3CDTF">2011-04-14T08:42:21Z</dcterms:created>
  <dcterms:modified xsi:type="dcterms:W3CDTF">2019-08-26T11:09:25Z</dcterms:modified>
</cp:coreProperties>
</file>