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nru\Desktop\WEB\2021\december\"/>
    </mc:Choice>
  </mc:AlternateContent>
  <bookViews>
    <workbookView xWindow="0" yWindow="0" windowWidth="19200" windowHeight="6930" tabRatio="200"/>
  </bookViews>
  <sheets>
    <sheet name="WEB-2021" sheetId="12" r:id="rId1"/>
  </sheets>
  <definedNames>
    <definedName name="_xlnm.Print_Area" localSheetId="0">'WEB-2021'!$A$1:$N$111</definedName>
    <definedName name="_xlnm.Print_Titles" localSheetId="0">'WEB-2021'!$A:$N,'WEB-2021'!$4:$6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91" i="12" l="1"/>
  <c r="I91" i="12"/>
  <c r="K99" i="12"/>
  <c r="L96" i="12"/>
  <c r="K95" i="12"/>
  <c r="L98" i="12"/>
  <c r="H81" i="12" l="1"/>
  <c r="I81" i="12"/>
  <c r="J81" i="12"/>
  <c r="L81" i="12"/>
  <c r="G81" i="12"/>
  <c r="K86" i="12" l="1"/>
  <c r="K87" i="12"/>
  <c r="J35" i="12" l="1"/>
  <c r="I35" i="12"/>
  <c r="K53" i="12"/>
  <c r="G35" i="12" l="1"/>
  <c r="H35" i="12"/>
  <c r="K48" i="12"/>
  <c r="K47" i="12"/>
  <c r="I14" i="12" l="1"/>
  <c r="I16" i="12"/>
  <c r="I7" i="12" l="1"/>
  <c r="K15" i="12"/>
  <c r="K14" i="12"/>
  <c r="I66" i="12"/>
  <c r="K56" i="12" l="1"/>
  <c r="G66" i="12" l="1"/>
  <c r="L63" i="12"/>
  <c r="K88" i="12"/>
  <c r="K107" i="12" l="1"/>
  <c r="K104" i="12"/>
  <c r="K34" i="12"/>
  <c r="K31" i="12"/>
  <c r="L80" i="12"/>
  <c r="L76" i="12"/>
  <c r="K69" i="12"/>
  <c r="K68" i="12"/>
  <c r="J66" i="12"/>
  <c r="H66" i="12"/>
  <c r="L67" i="12" l="1"/>
  <c r="L66" i="12" s="1"/>
  <c r="H91" i="12"/>
  <c r="M91" i="12"/>
  <c r="G91" i="12"/>
  <c r="J54" i="12" l="1"/>
  <c r="I54" i="12"/>
  <c r="H54" i="12"/>
  <c r="G54" i="12"/>
  <c r="J19" i="12" l="1"/>
  <c r="K103" i="12" l="1"/>
  <c r="K106" i="12"/>
  <c r="K105" i="12"/>
  <c r="K102" i="12"/>
  <c r="K101" i="12"/>
  <c r="L100" i="12"/>
  <c r="K100" i="12"/>
  <c r="K98" i="12"/>
  <c r="L97" i="12"/>
  <c r="K97" i="12"/>
  <c r="K94" i="12"/>
  <c r="K93" i="12"/>
  <c r="K92" i="12"/>
  <c r="L90" i="12"/>
  <c r="L89" i="12"/>
  <c r="K85" i="12"/>
  <c r="K82" i="12"/>
  <c r="K77" i="12"/>
  <c r="K78" i="12"/>
  <c r="K80" i="12"/>
  <c r="K76" i="12"/>
  <c r="K75" i="12"/>
  <c r="K74" i="12"/>
  <c r="K73" i="12"/>
  <c r="K72" i="12"/>
  <c r="K71" i="12"/>
  <c r="K70" i="12"/>
  <c r="K65" i="12"/>
  <c r="L65" i="12"/>
  <c r="L64" i="12"/>
  <c r="K63" i="12"/>
  <c r="K62" i="12"/>
  <c r="L62" i="12"/>
  <c r="L61" i="12"/>
  <c r="K61" i="12"/>
  <c r="K60" i="12"/>
  <c r="K55" i="12"/>
  <c r="K81" i="12" l="1"/>
  <c r="L88" i="12"/>
  <c r="K91" i="12"/>
  <c r="L91" i="12"/>
  <c r="K66" i="12"/>
  <c r="K54" i="12"/>
  <c r="L54" i="12"/>
  <c r="L51" i="12"/>
  <c r="K52" i="12"/>
  <c r="K51" i="12"/>
  <c r="K50" i="12"/>
  <c r="K49" i="12"/>
  <c r="K46" i="12"/>
  <c r="L44" i="12"/>
  <c r="K45" i="12"/>
  <c r="K44" i="12"/>
  <c r="K43" i="12"/>
  <c r="K42" i="12"/>
  <c r="K40" i="12"/>
  <c r="K39" i="12"/>
  <c r="K38" i="12"/>
  <c r="L39" i="12"/>
  <c r="L38" i="12"/>
  <c r="L36" i="12"/>
  <c r="K36" i="12"/>
  <c r="K33" i="12"/>
  <c r="K32" i="12"/>
  <c r="K30" i="12"/>
  <c r="K29" i="12"/>
  <c r="K27" i="12"/>
  <c r="K26" i="12"/>
  <c r="K25" i="12"/>
  <c r="K24" i="12"/>
  <c r="K23" i="12"/>
  <c r="K22" i="12"/>
  <c r="K20" i="12"/>
  <c r="L19" i="12"/>
  <c r="K19" i="12"/>
  <c r="K18" i="12"/>
  <c r="K16" i="12"/>
  <c r="K12" i="12"/>
  <c r="K10" i="12"/>
  <c r="K8" i="12"/>
  <c r="K35" i="12" l="1"/>
  <c r="L35" i="12"/>
  <c r="G7" i="12"/>
  <c r="J7" i="12" l="1"/>
  <c r="H7" i="12"/>
  <c r="F65" i="12" l="1"/>
  <c r="L7" i="12" l="1"/>
  <c r="L108" i="12" s="1"/>
  <c r="K7" i="12" l="1"/>
  <c r="K108" i="12" s="1"/>
  <c r="F61" i="12"/>
  <c r="E61" i="12"/>
  <c r="E40" i="12" l="1"/>
  <c r="E57" i="12" l="1"/>
  <c r="H88" i="12" l="1"/>
  <c r="H108" i="12" s="1"/>
  <c r="I88" i="12"/>
  <c r="I108" i="12" s="1"/>
  <c r="J88" i="12"/>
  <c r="J108" i="12" s="1"/>
  <c r="G88" i="12"/>
  <c r="G108" i="12" s="1"/>
  <c r="E56" i="12" l="1"/>
  <c r="E41" i="12"/>
  <c r="E69" i="12" l="1"/>
</calcChain>
</file>

<file path=xl/sharedStrings.xml><?xml version="1.0" encoding="utf-8"?>
<sst xmlns="http://schemas.openxmlformats.org/spreadsheetml/2006/main" count="323" uniqueCount="232">
  <si>
    <t>განმახორციელებელი</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</si>
  <si>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</si>
  <si>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</si>
  <si>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საქართველოს გაერთიანებული წყალმომარაგების კომპანია</t>
  </si>
  <si>
    <t>ბათუმის მერია</t>
  </si>
  <si>
    <t>შპს ენგურჰესი</t>
  </si>
  <si>
    <t>ენერგეტიკა</t>
  </si>
  <si>
    <t>ურბანული და მუნიციპალური ინფრასტრუქტურა</t>
  </si>
  <si>
    <t>საგზაო ინფრასტრუქტურა</t>
  </si>
  <si>
    <t xml:space="preserve">წყლის ინფრასტრუქტურა </t>
  </si>
  <si>
    <t>დაცული ტერიტორიების განვითარება (CNF)</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</si>
  <si>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</si>
  <si>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</si>
  <si>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</si>
  <si>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</si>
  <si>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</si>
  <si>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</si>
  <si>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</si>
  <si>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</si>
  <si>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</si>
  <si>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</si>
  <si>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</si>
  <si>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</si>
  <si>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</si>
  <si>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</si>
  <si>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</si>
  <si>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</si>
  <si>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</si>
  <si>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</si>
  <si>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</si>
  <si>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</si>
  <si>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</si>
  <si>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</si>
  <si>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</si>
  <si>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</si>
  <si>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სახელმწიფო ბიუჯეტში ასახული დონორების მხარდაჭერით დაფინანსებული პროგრამები და პროექტები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</si>
  <si>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</si>
  <si>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</si>
  <si>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</si>
  <si>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</si>
  <si>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</si>
  <si>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 xml:space="preserve"> სულ ათვისებული თანხა (საკასო) **</t>
  </si>
  <si>
    <t>სოფლის მეურნეობის მოდერნიზაციის, ბაზარზე წვდომისა და მდგრადობის პროექტი (GEF, IFAD)</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</si>
  <si>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</si>
  <si>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</si>
  <si>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</si>
  <si>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</si>
  <si>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</si>
  <si>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</si>
  <si>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</si>
  <si>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</si>
  <si>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</si>
  <si>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</si>
  <si>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</si>
  <si>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</si>
  <si>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</si>
  <si>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</si>
  <si>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</si>
  <si>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</si>
  <si>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</si>
  <si>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</si>
  <si>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</si>
  <si>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</si>
  <si>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</si>
  <si>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</si>
  <si>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ქ. ბათუმის ახალი შემოვლითი გზა (ADB, AIIB)</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</si>
  <si>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</si>
  <si>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500-220 კვ ქ/ს-ის "ჯვარი" და შესაბამისი ელექტროგადამცემი ხაზების მშენებლობა (EBRD, KfW, EU)</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</si>
  <si>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</si>
  <si>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</si>
  <si>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</si>
  <si>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</si>
  <si>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საქართველოს შეიარაღებული ძალების შესაძლებლობების გაძლიერება (მიმდინარეობს)</t>
  </si>
  <si>
    <t>შიდასახელმწიფოებრივი მნიშვნელობის ძირულა-ხარაგაული-მოლითი-ფონა-ჩუმათელეთის საავტომობილო გზის ჩუმათელეთი-ხარაგაულის მონაკვეთის რეაბილიტაცია-რეკონსტრუქცია (ADB)</t>
  </si>
  <si>
    <t>19,06,2017</t>
  </si>
  <si>
    <t>თბილისი-სენაკი-ლესელიძის საავტომობილო გზის ხევი უბისას მონაკვეთის რეკონსტრუქცია - მშენებლობა (ADB)</t>
  </si>
  <si>
    <t>სენაკი-ფოთი-სარფის საავტომობილო გზის კმ48-კმ64 გრიგოლეთი-ჩოლოქის მონაკვეთის მშენებლობა (EIB)</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</si>
  <si>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(EIB)</t>
  </si>
  <si>
    <t>ალგეთი-სადახლოს საავტომობილო გზის მშენებლობა-მოდერნიზაცია (EIB)</t>
  </si>
  <si>
    <t>ქუთაისის წყალარინების პროექტი (EIB, EPTATF)</t>
  </si>
  <si>
    <t>04,12,2017</t>
  </si>
  <si>
    <t>31,12,2023</t>
  </si>
  <si>
    <t>თბილისი-სენაკი-ლესელიძის საავტომობილო გზის ჩუმათელეთი-ხევის მონაკვეთის რეკონსტრუქცია-მშენებლობა (EIB, WB)</t>
  </si>
  <si>
    <t>31,12,2021</t>
  </si>
  <si>
    <t>საქართველოში საჯარო შენობების ენერგოეფექტურობის გაუმჯობესება და განახლებადი-ალტერნატიული ენერგიის გამოყენება (E5P, NEFCO)</t>
  </si>
  <si>
    <t>მყარი ნარჩენების ინტეგრირებული მართვის პროგრამა II (კახეთი, სამეგრელო-ზემო სვანეთი) (KfW)</t>
  </si>
  <si>
    <t>თბილისის მყარი ნარჩენების მართვის პროექტი (EBRD)</t>
  </si>
  <si>
    <t xml:space="preserve">კახეთის ინფრასტრუქტურის გაძლიერება (KfW) </t>
  </si>
  <si>
    <t>ხელედულა-ლაჯანური-ონი (KfW)</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</si>
  <si>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</si>
  <si>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</si>
  <si>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 xml:space="preserve">27.01.2019  </t>
  </si>
  <si>
    <t>15.10.2015</t>
  </si>
  <si>
    <t>15.10.2020</t>
  </si>
  <si>
    <t>საქართველოს სხვადასხვა რეგიონში წყლის მიწოდების გაუმჯობესება (მიმდინარეობს).</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</si>
  <si>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</si>
  <si>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</si>
  <si>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</si>
  <si>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</si>
  <si>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დაგეგმილი</t>
  </si>
  <si>
    <t xml:space="preserve">ზუგდიდში (არსებული ნაგავსაყრელის ბაზაზე) და გურჯანში (სოფელ მელაანში) რეგიონული მუნიციპალური ნაგავსაყრელის მოწყობა  რომელიც მოემსახურება  სამეგრელო-ზემო სვანეთის და კახეთის რეგიონებს (მიმდინარეობს მოსამზადებელი სამუშაოები). </t>
  </si>
  <si>
    <t>თბილისი-სენაკი-ლესელიძის საავტომობილო გზის უბისა-შორაპანის მონაკვეთის რეკონსტრუქცია-მშენებლობა  (მიმდინარეობს სამშენებლო სამუშაოები).</t>
  </si>
  <si>
    <t xml:space="preserve"> გრიგოლეთი-ქობულეთის შემოვლითი გზის მონაკვეთის მშენებლობა (მიმდინარეობს სამშენებლო სამუშაოები).</t>
  </si>
  <si>
    <t>მდინარე რიონზე ფოთის ხიდის მშენებლობა (ADB)</t>
  </si>
  <si>
    <t>ჩრდილოეთის რგოლი (EBRD), ნამახვანი - წყალტუბო - ლაჯანური(EBRD)</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</si>
  <si>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(ADB, EBRD )</t>
  </si>
  <si>
    <t>თბილისი-სენაკი-ლესელიძის საავტომობილო გზის უბისა შორაპანის მონაკვეთის რეკონსტრუქცია-მშენებლობა  (EIB)</t>
  </si>
  <si>
    <t>თბილისი-სენაკი-ლესელიძის საავტომობილო გზის შორაპანი არგვეთას მონაკვეთის რეკონსტრუქცია-მშენებლობა (ADB)</t>
  </si>
  <si>
    <t>რეგიონალური და მუნიციპალური ინფრასტრუქტურის განვითარების პროექტი II (WB, SDC)</t>
  </si>
  <si>
    <t>საცხოვრებლად ვარგისი ქალაქების საინვესტიციო პროგრამა (ADB)</t>
  </si>
  <si>
    <t>ურბანული ტრანსპორტის განვითარების პროგრამა (EBRD)</t>
  </si>
  <si>
    <t>ბაკურიანის მუნიციპალური სერვისების გაუმჯობესების პროგრამა (EBRD)</t>
  </si>
  <si>
    <t>მერძევეობის დარგის მოდერნიზაციის და ბაზარზე წვდომის პროგრამა (DiMMA) (IFAD)</t>
  </si>
  <si>
    <t>პროფესიული განათლება I (KfW)</t>
  </si>
  <si>
    <t>გამოყენებითი კვლევების საგრანტო პროგრამა (ინოვაციური ეკოსისტემის განვითარება (IBRD)</t>
  </si>
  <si>
    <t xml:space="preserve">  - ენგურის ჰიდროელექტროსადგურის კასკადის რეაბილიტაციის დასრულება, 
 საქართველოში  სუფთა განახლებადი ენერგიის ხელმისაწვდომლობის გაზრდის მიზნით;  (მიმდინარეობს)
  -   ენგურის ჰიდროელექტროსადგურის რეაბილიტაციის დასრულების ხელშეწყობა, მათ შორი საგანგებო რემონტის  განხორციელება  მიწისქვეშა გვირაბსა თუ მილსადენზე, მთლიანი წარმოების გაზრდის მიზნით; (მიმდინარეობს)
 -  კლიმატური პიროპებისადმი მდგრადობის გაუმჯობესების უზრუნველყოფა.(მიმდინარეობს)</t>
  </si>
  <si>
    <t>250 მგვარ სიმძლავრის რეგულირებადი რეაქტორის მშენებლობა - ,,ქ/ს ზესტაფონი 500-ში“ (დასრულდა).</t>
  </si>
  <si>
    <t xml:space="preserve"> - ახალი 500/220 კვ ქვესადგურის მშენებლობა ჯვარში (დასრულდა);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(დასრულდა).</t>
  </si>
  <si>
    <t>ელექტროენერგიის სექტორის სტრატეგიული გარემოსდაცვითი ზემოქმედების შეფასება (დასრულდა)</t>
  </si>
  <si>
    <t xml:space="preserve"> პროფესიული კოლეჯის „ექსელენს ცენტრი“-ს მშენებლობა მათ შორის,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t>
  </si>
  <si>
    <t xml:space="preserve"> - ყაზბეგის,  კინტრიშის,  ალგეთის დაცული ტერიტორიების ადმინისტრაციების და ვიზიტორთა ცენტრების მშენებლობა დასრულებულია;
-  ყაზბეგის,  კინტრიშის,  ალგეთის და ფშავ-ხევსურეთის ეკო-ტურიზმის სტრატეგიები შემუშავებულია;
-  ყაზბეგის,  კინტრიშის,  ალგეთის და ფშავ-ხევსურეთის მენეჯმენტის გეგმები შემუშავებულია, მომზადებულია დასამტკიცებლად;
-  ფშავ-ხევსურეთის ადმინისტრაციის და ვიზიტორთა ცენტრის მშენებლობა მიმდინარეობს; 
-  მანგლისის როშის პარკის რეაბილიტაცია სრულდება;
- ფშავ-ხევსურეთის დემარკაცია დასრულდა;
-  ყაზბეგის,  კინტრიშის,  ალგეთის და ფშავ-ხევსურეთის ფიზიკური დემარკაცია დასრულდა;
- პრომეთეს მღვიმის საგამოფენო სივრცის რეაბილიტაცია სრულად განხორციელდა;
- მანგლისში, ალგეთის ეროვნულ პარკში მოეწყო თოკების პარკი;</t>
  </si>
  <si>
    <t>ეკონომიკური მონაწილეობა,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(KfW)</t>
  </si>
  <si>
    <t>31.10.2020</t>
  </si>
  <si>
    <t xml:space="preserve">    </t>
  </si>
  <si>
    <t>COVID-19-თან დაკავშირებული ჯანდაცვის სფეროს  ღონისძიებების დაფინანსება (EIB)</t>
  </si>
  <si>
    <t>თბილისის მეტროს პროექტი (EBRD)</t>
  </si>
  <si>
    <t>აჭარის სოფლების წყალმომარაგებისა და წყალარინების პროგრამა, საქართველო (EU-NIF, KfW)</t>
  </si>
  <si>
    <t>თბილისის ავტობუსების პროექტი (ფაზა II) (EBRD)</t>
  </si>
  <si>
    <t>ინოვაციის, ინკლუზიურობის და ხარისხის პროექტი - საქართველო I2Q (IBRD) -MES</t>
  </si>
  <si>
    <t>ინოვაციის, ინკლუზიურობის და ხარისხის პროექტი - საქართველო I2Q (IBRD) -  MDF</t>
  </si>
  <si>
    <t>30.08.2024</t>
  </si>
  <si>
    <t>31.08.2022</t>
  </si>
  <si>
    <t>31.12.2020</t>
  </si>
  <si>
    <t xml:space="preserve"> - ზესტაფონი - ქუთაისის ახალი შემოვლითი გზის მშენებლობა (15.2 კმ)  დასრულდა.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</si>
  <si>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 იქმნება მარნეულში სოფლის  ტიპის დასახლება იძულებით გადაადგილებული ოჯახებისთვის;
- 24 მცირე მასშტაბის ინფრასტრუქტურული პროექტი განხორციელდება იმ დასახლებების მახლობლად, სადაც ცხოვრობენ იძულებით გადაადგილებული პირები. აშენდება რვა ახალი საბავშვო ბაღი და განახლდება ორი სკოლამდელი აღზრდის დაწესებულება;
- სულ გაიცემა 236 გრანტი, რათა შემოსავლის წყარო მიეცეს ახალ საცხოვრებელ ზონაში გადაადგილებულ ოჯახებს;
- გაიცემა 130 ბიზნეს გრანტი მცირე და საშუალო საწარმოებისთვის, იძულებით გადაადგილებულ პირთა სამუშაო ადგილების შესაქმნელად. იძულებით გადაადგილებული 260-მდე ახალგაზრდა გაივლის პროფესიული კვალიფიკაციის კურსებს. ასევე,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</si>
  <si>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(მიმდინარეობს სამშენებლო სამუშაოები).</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</si>
  <si>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t>
  </si>
  <si>
    <t>მდგრადი წყალმომარაგებისა და სანიტარული სექტორის განვითარების პროგრამა (ADB)</t>
  </si>
  <si>
    <t>იმერეთის და ყაზბეგის მუნიციპალიტეტებში კომუნალური ინფრასტრუქტურის გაუმჯობესება (KfW)</t>
  </si>
  <si>
    <t>ქალაქ ხაშურის და მიმდებარე დასახლებების წყალმომარაგებისა და წყალარინების სისტემების გაუმჯობესება (AFD)</t>
  </si>
  <si>
    <t>აჭარის მყარი ნარჩენების პროექტი (EBRD, SIDA)</t>
  </si>
  <si>
    <t>საცხოვრებლად ვარგისი ქალაქების საინვესტიციო პროგრამა 
(I ფაზა) (ADB)</t>
  </si>
  <si>
    <t>31.12.2024</t>
  </si>
  <si>
    <t>თელავის წყალმომარაგებისა და სანიტარული სექტორის განვითარება</t>
  </si>
  <si>
    <t>07.08.2020</t>
  </si>
  <si>
    <t>15.07.2028</t>
  </si>
  <si>
    <t>31.07.2020</t>
  </si>
  <si>
    <t>30.06.2025</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</si>
  <si>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(დაგეგმილი)</t>
  </si>
  <si>
    <t>ალგეთი-სადახლოს საავტომობილო გზის მშენებლობა-მოდერნიზაცია   (დაგეგმილი)</t>
  </si>
  <si>
    <t>თბილისი-სენაკი-ლესელიძის საავტომობილო გზის ხევი უბისას მონაკვეთის რეკონსტრუქცია - მშენებლობა (მიმდინარეობს სამშენებლო სამუშაოები)</t>
  </si>
  <si>
    <t>წყალმომარაგებისა და წყალარინების სისტემების რეაბილიტაცია ქალაქ ხაშურში. 2 არსებული სათავე ნაგებობის  და მასთან დაკავშირებული სატუმბი სადგურების რეაბილიტაცია, გადამცემი ხაზებისა და სადისტრიბუციო ქსელების რეაბილიტაცია,  საკანალიზაციო ქსელის, მათ შორის კონექტორების, რეკონსტრუქცია და გაფართოება. ძველი წყალარინების გამწმენდი ნაგებობის დემონტაჟი და ახლის აშენება.</t>
  </si>
  <si>
    <t>2021 წლის ბიუჯეტით დამტკიცებული თანხა</t>
  </si>
  <si>
    <t>2021 წლის განმავლობაში ათვისებული თანხა (საკასო) **</t>
  </si>
  <si>
    <t>21.05.2020</t>
  </si>
  <si>
    <t>20.09.2019</t>
  </si>
  <si>
    <t>20.11.2024</t>
  </si>
  <si>
    <t xml:space="preserve"> ენგურის ჰიდროელექტროსადგურების რეაბილიტაციის პროექტი  -  კლიმატური პიროგებისადმი მდგრადობის გაუმჯობესება (EBRD , EU-NIF)</t>
  </si>
  <si>
    <t xml:space="preserve">ტექნიკური დახმარების პროექტი საქართველოს ენერგეტიკული სექტორის რეფორმის პროგრამის (GSRP) მხარდასაჭერად (KFW, EU-NIF) </t>
  </si>
  <si>
    <t>09.06.2021</t>
  </si>
  <si>
    <t>30.04.2023</t>
  </si>
  <si>
    <r>
      <t>საჯარო შენობებში  ენერგოეფექტურობის  ღონისძიებების განხორციელება (ადმინისტრაციულ და ს</t>
    </r>
    <r>
      <rPr>
        <sz val="11"/>
        <color theme="1"/>
        <rFont val="Franklin Gothic Book"/>
        <family val="2"/>
        <scheme val="minor"/>
      </rPr>
      <t>აგანმანათლებლო შენობებში განახლებადი და ალტერნატიული ენერგიის წყაროების დანერგვა)  (მიმდინარეობს  სამუშაოები</t>
    </r>
    <r>
      <rPr>
        <sz val="11"/>
        <rFont val="Franklin Gothic Book"/>
        <family val="2"/>
        <scheme val="minor"/>
      </rPr>
      <t>).</t>
    </r>
  </si>
  <si>
    <r>
      <t>წყალტუბოსა და თელავში საკანალიზაციო სისტემების გამწმენდი ნაგებობების მ</t>
    </r>
    <r>
      <rPr>
        <sz val="11"/>
        <color theme="1"/>
        <rFont val="Franklin Gothic Book"/>
        <family val="2"/>
        <scheme val="minor"/>
      </rPr>
      <t>შენებლობა (დასრულდა - მიმდინარეობს დეფექტების აღმოფხვრის პერიოდი).</t>
    </r>
  </si>
  <si>
    <t>17.05.2021</t>
  </si>
  <si>
    <t>30.06.2026</t>
  </si>
  <si>
    <t>საქართველო მიიღებს 85 მლნ ევროს ოდენობის შეღავათიან, გრძელვადიან ფინანსურ რესურსს პანდემიისგან დაზარალებული მიკრო, მცირე და საშუალო ზომის საწარმოების დასახმარებლად. იმავდროულად, პროექტი ითვალისწინებს ახალი, მყისიერი გადახდების სისტემის ჩამოყალიბებას, რაც საფინანსო სექტორში ინოვაციური ეკოსისტემის გაძლიერებას ნიშნავს.</t>
  </si>
  <si>
    <t>COVID-19-ის წინააღმდეგ სწრაფი რეაგირების პროექტის დამატებითი დაფინანსება (IBRD)</t>
  </si>
  <si>
    <t>მიკრო, მცირე და საშუალო საწარმოების დახმარებისა და კრიზისიდან გამოყვანის პროექტი - პროგრამები  (IBRD)</t>
  </si>
  <si>
    <t>თანამედროვე უნარები უკეთესი დასაქმების სექტორის განვითარების პროგრამისთვის -  პროექტი (ADB)</t>
  </si>
  <si>
    <t>09.12.2020</t>
  </si>
  <si>
    <t>226 ერთეული ავტობუსი შეძენილია და შემყვანილი; მიმდინარეობს დეპს მშენებლობისთვის მოსამზადებელი სამუშაოები.</t>
  </si>
  <si>
    <t xml:space="preserve">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(მიმდინარეობს სამშენებლო სამუშაოები). </t>
  </si>
  <si>
    <t>31.12.2026</t>
  </si>
  <si>
    <t>ვაქცინების შეძენა და განთავსება.</t>
  </si>
  <si>
    <t>ფართოზოლოვან ინტერნეტთან წვდომის გაზრდა და მის გამოყენების ხელშეწყობა ინდივიდუალური პირებისა და საწარმოების მიერ, შერჩეულ სასოფლო დასახლებებში.</t>
  </si>
  <si>
    <t>ენერგეტიკის სექტორის მიმდინარე რეფორმის მხარდაჭერა.</t>
  </si>
  <si>
    <t>- სამტრედია - გრიგოლეთის მონაკვეთზე (დაახლოებით 50 კმ) ახალი ოთხზოლიანი ავტომაგისტრალის მშენებლობა (სამშენებლო სამუშაოები მიმდინარეობს I და IV ლოტის ფარგლებში;  ლოტი II-ზე დასრულდა სამშენებლო სამუშაოები და გახსნილია მოძრაობა;  ლოტი III - მიმდინარეობს წინასაკვალიფიკაციო ეტაპზე წარმოდგენილი წინადადებების შეფასების შედეგების შეთანხმება ბანკთან);
-   ლოტი I კონტრაქტორ ორგანიზაციასთან შეწყდა ხელშეკრულება და  დარჩენილ სამუშაოებზე ხელშეკრულება გაფორმდა 2018 წლის 13 ნოემბერს. კონტრაქტორის მიერ ხელშეკრულებით ნაკისრი ვალდებულებების შეუსრულებლობის გამო, ხელშეკრულება შეწყდა 2021 წლის 3 აგვისტოს. ტენდერი დარჩენილ სამუშაოებზე გამოცხადდა სახელმწიფო შესყიდვების პროცედურით (მიმდინარეობს სატენდერო პროცედურები);
- ლოტი II  ხელშეკრულება გაფორმდა  2015 წლის 13 ნოემბერს (სამუშაოები დასრულდა, გახსნილია მოძრაობა)   
- ლოტი IV  ხელშეკრულება გაფორმდა 2014 წლის 24 დეკემბერს.  სამუშაოების დასრულება იგეგმება 2021 წელს;
 - ფოთი-გრიგოლეთის მონაკვეთი (დეტალური პროექტის მომზადების სამუშაოები დასრულდა)</t>
  </si>
  <si>
    <t xml:space="preserve">მესტიაში წყალმომარაგების სათავე ნაგებობის მშენებლობა (დასრულდა); 
- მესტიის წყალმომარაგებისა და კანალიზაციის ქსელების მშენებლობა - რეაბილიტაცია (დასრულდა); 
- მესტიის წყლის გამწმენდი ნაგებობის, ახალი რეზერვუარების მშენებლობა და არსებული რეზერვუარის რეაბილიტაცია (მშენებლობა დასრულდა, დასრულდა ტესტირება, მიმდინარეობს დეფექტების აღმოფხვრის პერიოდი);
- მესტიის წყალარინების გამწმენდი ნაგებობის პროექტირება-მშენებლობა რეაბილიტაცია (საპროექტო სამუშაოები შეჩერებულია, მიმდინარეობს პროექტის შესაძლო ცვლილებისთვის საჭირო კვლევა);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 ანაკლიის კანალიზაციის გამწმენდი ნაგებობის მშენებლობა (მშენებლობა დასრულდა, მიმდინარეობს მოვლა-შენახვის პროცედურები);
- ქუთაისში წყალმომარაგების სისტემების (რეზერვუარები, სატუმბი სადგურები, წყლის გამანაწილებელი ქსელი) მშენებლობა- რეაბილიტაცია (დასრულდა);
- ფოთში წყალმომარაგების სისტემების მშენებლობა - რეაბილიტაცია (დასრულებულია); 
- ფოთში წყალარინების სისტემის რეაბილიტაცია (მიმდინარეობს სამშენებლო სამუშაოები. დავების საბჭოს განხილვა დამკვეთის გამარჯვებით დასრულდა); 
- ფოთში წყალარინების გამწმენდი ნაგებობის მშენებლობა (მიმდინარეობს სამშენებლო სამუშაოები);
- ურეკში წყალმომარაგებისა და კანალიზაციის სისტემების მშენებლობა (დასრულდა);
- ურეკში კანალიზაციის გამწმენდი ნაგებობის მშენებლობა (სამშენებლო ნაწილი დასრულდა; მიმდინარეობს მოვლა-შენახვის პროცედურები);
- ზუგდიდში წყალმომარაგების სისტემის მშენებლობა-რეაბილიტაცია (დასრულდა);
- ზუგდიდში კანალიზაციის სისტემის მშენებლობა-რეაბილიტაცია (მშენებლობა დასრულდა, მიმდინარეობს დეფექტების აღმოფხვრის პერიოდი);
- ზუგდიდში კანალიზაციის გამწმენდი ნაგებობის მშენებლობა (სამშენებლო სამუშაოები დასრულდა, მიმდინარეობს ტესტირება);
- ჯვარის წყალმომარაგების სისტემის მშენებლობა (მიმდინარეობს სამშენებლო სამუშაოები);
- ჭიათურაში წყალმომარაგების სისტემის მშენებლობა (დასრულდა სექცია 1, მიმდინარეობს დეფექტებსი აღმოფხვრის პერიოდი. სექცია 2-ის სამუშაოები მიმდინარეობს).
- მარნეულში წყლისა და წყალარინების სისტემების მშენებლობა, ბოლნისის წყალარინების სისტემისა და კოლექტორის მშენებლობა  (მიმდინარეობს სამშენებლო სამუშაოები);
- მარნეულის წყალარინების გამწმენდი ნაგებობის პროექტირება-მშენებლობა (მიმდინარეობს მშენებლობა).
- აბაშის მაგისტრალური ხაზის მშენებლობა (მიმდინარეობს სამშენებლო სამუშაოები);
- თელავის წყალმომარაგების სისტემის მშენებლობა (მიმდინარეობს მშენებლობა);
- გუდაურის წყლისა და წყალარინების სისტემების მშენებლობა (მიმდინარეობს სამშენებლო სამუშაოები); 
- გუდაურის წყალარინების გამწმენდი ნაგებობების მშენებლობა (მიმდინარეობს საპროექტო სამუშაოები და დასწყებულია სამშენებლო სამუშაოების მომზადება). </t>
  </si>
  <si>
    <t xml:space="preserve"> - მერძევეობის პროდუქციის წარმოება/გადამუშავება/რეალიზაციის ჯაჭვის (Value Chain) განვითარება და ამ სექტორში ინოვაციების ხელშეწყობა. ინსტიტუციონალური და ორგანიზაციული განვითარება; პროექტი ხორციელდება იმერეთის, სამცხე-ჯავახეთის, სამეგრელო-ზემო სვანეთის, რაჭა-ლეჩხუმის და ქვემო სვანეთის, კახეთისა და ქვემო ქართლის რეგიონებში.
მერძევეობის ღირებულებათა ჯაჭვის განვითარება:
-  თანამონაწილეობაზე დაფუძნებული გრანტით დაფინანსდა 287 ბენეფიციარი, მათ შორის: 182 - რძის პირველადი მწარმოებელი, 95 - საკვებმწარმოებელი, 3 - ვეტერინარი და 7 - რძის შემგროვებელი/გადამამუშავებელი მცირე საწარმო;
-  პროგრამის ფარგლებში შეირჩა ოთხი კლასტერი, კახეთისა და ქვემო ქართლის რეგიონში, რომელშიც მოაწყობა სადემონსტრაციო ნაკვეთები/ფერმები (სილოსის წარმოება, ცხოველთა ჰიგიენა, ხელოვნური განაყოფიერება, რძის ხარისხის გაუმჯობესება და სხვა), ჩატარდება ფერმერთა სწავლება სხვადასხვა მიმართულებით;
- შეირჩა ორგანიზაცია, რომელიც მოამზადებს დოკუმენტს - „საძოვრების ინტეგრირებული მართვის და მესაქონლეობის განვითარების ტექნიკურ-ეკონომიკურ დასაბუთება, რომელიც მოიცავს ხარჯთსარგებლიანობის ანალიზს მიმდინარე და სამომავლო ალტერნატიული შესაძლო სცენარებისთვის“.  აღმნიშნული დოკუმენტი წინ უნდა უძღოდეს საძოვრების მართვის პოლიტიკის ეროვნული დოკუმენტის შექმნას.
</t>
  </si>
  <si>
    <r>
      <t xml:space="preserve">  </t>
    </r>
    <r>
      <rPr>
        <sz val="11"/>
        <color theme="1"/>
        <rFont val="Franklin Gothic Book"/>
        <family val="2"/>
        <scheme val="minor"/>
      </rPr>
      <t>- საქართველოს სხვადასხვა ქალაქსა და სოფელში ინოვაციური ჰაბებისა და ცენტრების ქსელის განვითარება; პროექტის მხარდაჭერით აღიჭურვა და გაიხსნა ტექნოპარკები და ინოვაციების ცენტრები თბილისში, კასპში, ბათუმში, თელავში, ახმეტაში, გურჯაანში და რუხში. ამის გარდა, პროექტი აქტიურად თანამშრომლობს ზუგდიდის ტექნოპარკთან, რომელიც ასევე სრულად ჩართულია სააგენტოს ცენტრების სამუშაო ქსელში);</t>
    </r>
    <r>
      <rPr>
        <sz val="11"/>
        <rFont val="Franklin Gothic Book"/>
        <family val="2"/>
        <scheme val="minor"/>
      </rPr>
      <t xml:space="preserve">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t>
    </r>
    <r>
      <rPr>
        <sz val="11"/>
        <color theme="1"/>
        <rFont val="Franklin Gothic Book"/>
        <family val="2"/>
        <scheme val="minor"/>
      </rPr>
      <t>(„ინტერნეტი განვითარებისთვის“ პროგრამის ფარგლებში, საქართველოს ინოვაციების და ტექნოლოგიების სააგენტომ ფართოზოლოვან ინტერნეტში ჩართვის მიზნით მაღალმთიან დასახლებებში მცხოვრები სოციალურად დაუცველი ოჯახებისთვის (რომელთა სარეიტინგო ქულაც 100,000-ს არ აღემატება) გასცა 1581 ვაუჩერი, საიდანაც ინტერნეტში ჩაერთო 1380 ოჯახი. გარდა ამისა, აღნიშნული პროგრამის ფარგლებში, თუშეთში, მოხდა 29 მიკრო, მცირე და საშუალო მეწარმის ფართოზოლოვან ინტერნეტთან მიერთება. *ამჟამად პროგრამა დასრულებულია);
 - ინდივიდუალური პირებისა და ფირმების ინოვაციური შესაძლებლობების განვითარება.(„ინტერნეტი განვითარებისთვის“ პროგრამის ფარგლებში, საქართველოს ინოვაციების და ტექნოლოგიების სააგენტომ ჩაატარა ცნობიერების ასამაღლებელი ტრენინგები ქვეყნის რეგიონებში, რომელსაც დაესწრო 406 მეწარმე და 577 ინდივიდუალური პირი. გარდა ამისა სააგენტომ 187 მეწარმეს გაუწია ინდივიდუალური კონსულტაცია ელ-კომერციაში, ხოლო 834-მა მეწარმემ გაირა ტრენინგი ელ-წიგნიერებაში (რომელიც მოიცავდა ელ-ბიზნესს, ელ-კომერციას და ელ-მმართველობას), საიდანაც 512-მა მეწარმემ შეძლო თავისი ბიზნესის გაციფრულება (განათავსა თავისი ბიზნესი / პროდუქტი მინიმუმ 1 პოპულარულ ონლაინ პლატფორმაზე). ამასთანავე 100-ზე მეტ მეწარმეს შეექმნა საკუთარი ვებ-გვერდები ელ-კომერციის ფუნქციონალით. *ამჟამად პროგრამა დასრულებულია).</t>
    </r>
  </si>
  <si>
    <t>პროექტი ითვალისწინებს საქართველოს ოთხ მუნიციპალიტეტში (მცხეთა-მთიანეთსა და იმერეთის რეგიონებში), კერძოდ, ბაღდათში, ვანში, სამტრედიასა და ყაზბეგში ახალი კომუნალური ინფრასტრუქტურის მშენებლობასა და რეაბილიტაციას. (ლოტი 1- ყაზბეგი - ტენდერი შეწყდა ინტერესთა კონფლიქტის გამო, გაგზავნილია პრეკვალიფიკაციის დოკუმენტები ბანკში NO-ზე ახლიდან გასატენდერებლად. ლოტი 2 - საკონტრაქტო მოლაპარაკება დასრულების ეტაპზეა და სავარაუდოდ დეკემბრის დასაწყისში მოეწერება ხელი კონტრაქტს).</t>
  </si>
  <si>
    <t xml:space="preserve"> - აჭარაში (ქობულეთში, სოფელ ცეცხლაურთან) თანამედროვე ტიპის ნაგავსაყრელის მშენებლობა (დასრულდა ნაგავსაყრელის მშენებლობა);
</t>
  </si>
  <si>
    <t xml:space="preserve"> - მყარი ნარჩენების შეგროვების სადგურის განახლება (ახალი ნაგავმზიდი და მექანიკური დამგველი მანქანის შეძენა) - გამოცხადდა ორეტაპიანი ტენდერი;
 - არსებული მყარი ნარჩენების გადატვირთვის სადგურის განახლება - მიმდინარეობს სატენდერო პროცედურები;
  -თბილისის მყარი ნარჩენების ნაგავსაყრელზე ნაჟური წყლის  ((ლიჩეტის))  სისტემის რეაბილიტაცია და გაუმჯობესება - მიმდინარეობს სატენდერო პროცედურები;</t>
  </si>
  <si>
    <t>ავტობუსების (დიზელის და ელექტრო) შეძენა. 
დიზელის 40 ერთეული ავტობუსი შემოსულია საქართველოში; 
ელექტრო ავტობუსები (8 ერთეული) შეძენილია და შემოყვანილია. 
მიმდინარეობს დანაზოგის (დაახლოებით 250,000 ევრო) გამოყენების პროცედურები.</t>
  </si>
  <si>
    <t>თბილისი-ბაკურციხე-ლაგოდეხის საავტომობილო გზის ბაკურციხე-წნორის მონაკვეთის მშენებლობა (ADB)</t>
  </si>
  <si>
    <t>12.06.2017</t>
  </si>
  <si>
    <t>30.06.2023</t>
  </si>
  <si>
    <t>საცხოვრებლად ვარგისი ქალაქების საინვესტიციო პროგრამა - ქალაქ თბილისის მუნიციპალიტეტის მერია (ADB)</t>
  </si>
  <si>
    <t>10.12.2021</t>
  </si>
  <si>
    <t>30.06.2028</t>
  </si>
  <si>
    <t>ჭიათურის საბაგირო გზების რეკონსტრუქცია-რეაბილიტაციის პროექტი (საფრანგეთი)</t>
  </si>
  <si>
    <t xml:space="preserve">სოფლის მეურნეობა </t>
  </si>
  <si>
    <r>
      <t>შოთა რუსთაველის ეროვნ</t>
    </r>
    <r>
      <rPr>
        <sz val="11"/>
        <color theme="1"/>
        <rFont val="Franklin Gothic Book"/>
        <family val="2"/>
        <scheme val="minor"/>
      </rPr>
      <t>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 (შოთა რუსთაველის ეროვნული სამეცნიერო ფონდის დახმარებით იქნა ჩატარებული კონკურსი, რომელშიც შემოვიდა სულ 80 განაცხადი. პროექტები შეფასდა დამოუკიდებელი საერთაშორისო ექსპერტების მიერ.  შეფასების ორი ეტაპის საფუძველზე დასაფინანსებლად შეირჩა 36 პროექტი; გაკეთებულია 8 საპატენტო განაცხადი; შექმნილია 8 პროტოტიპი, 2 მაკეტი/მოდელი, 3 ტექნოლოგიური სქემა;  გამოქვეყნებულია 5 პუბლიკაცია; ჩატარდა 13 ღონისძიება  (ტრენიგი/ ვორქშოპი/ კონფერენცია);  კვლევის შედეგების პრეზენტაცია გატანილია 5 საერთაშორისო ღონისძიებაზე; ბიზნესის განვითარება ან ბიზნესთან გამოკვეთილი თანამშრომლობა გამოვლინდა 13 პროექტის შემთხვევაში).</t>
    </r>
  </si>
  <si>
    <t>2021  წლის  31  დეკემბრის  მდგომარეობით (ათას ერთეულში)</t>
  </si>
  <si>
    <t>28.02.2025</t>
  </si>
  <si>
    <t>ქუთაისის მყარი ნარჩენების პროექტი (KfW, EU-NIF)</t>
  </si>
  <si>
    <t>წყლის ინფრასტრუქტურის განახლების პროექტი II (EIB, EU-NIF)</t>
  </si>
  <si>
    <t xml:space="preserve">მიწის სისტემური რეგისტრაცია მიმდინარეობს შემდეგ ადგილში: ქალაქი საგარეჯო, ნინოწმინდა, წყაროსთავი, გიორგიწმინდა, ყანდაურა, შიბლიანი, იორმუღანლო, ლამბალო, თულარი, დუზაგრამა (ქვემო სამგორის საირიგაციო არხი), გორისა და ქარელის მუნიციპალიტეტების ადმინისტრაციულ ერთეულებში რუისი, ურბნისი, ბრეთი და გიგანტი (ზედა რუ-ს საირიგაციო არხი), თეთრიწყაროს მუნიციპალიტეტის ადმინისტრაციულ ერთეულებში - ჩხიკვთა, ჯორჯიაშვილი, ასურეთი, წინწყარო, დურნუკი, ხაიში, მარაბდა და გოლთეთი (ტბისი კუმისის საირიგაციო არხი). აიზომა და დამუშავდა უმეტესი ნაწილი.
საჯარო რეესტრის IT In-house ჯგუფის მიერ, მიმდინარეობს სისტემური რეგისტრაციის ოპტიმიზაციის პროცესი. პროცესის ფარგლებში დასრულდა მუშაობა მიწის ნაკვეთის ადგილზე დათვალიერების ოქმის ელექტრონული პროგრამაზე, ამ ეტაპზე მიმდინარეობს აღნიშნული პროგრამის შემდგომი განახლების და დახვეწის პროცესი. </t>
  </si>
  <si>
    <t xml:space="preserve"> -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
 - ჩუმათელეთი-ხევის, ჟინვალი-ლარსის და სამტრედია-ზუგდიდი-ანაკლიის მონაკვეთებზე დეტალური პროექტის მომზადების სამუშაოები დასრულდა
</t>
  </si>
  <si>
    <t xml:space="preserve"> E-60 ავტომაგისტრალის ზემო ოსიაური - ჩუმათელეთის მონაკვეთის (დაახლოებით 14.1 კმ) მშენებლობა (ლოტი I და ლოტი II):
- I ლოტზე სამშენებლო სამუშაოები დასრულდა;
- II  ლოტზე ხელშეკრულება შეწყდა, საიდანაც  1.9 კმ მონაკვეთზე (კმ-5+800-კმ7+700) ხელშეკრულება გაფორმდა I ლოტის კონტრაქტორთან. კმ0-კმ7.7-ის მონაკვეთზე სამუშაოები დასრულდა და მოძრაობა გახსნილია. II ლოტის დარჩენილ მონაკვეთზე (კმ7.7-კმ14.06) შესასრულებელ სამუშაოებზე ხელშეკრულება გაფორმდა 2020 წლის 16 დეკემბერს ტენდერში გამარჯვებულ კომპანიასთან. სამუშაოები დაიწყო 2021  წლის 1 მარტს.</t>
  </si>
  <si>
    <t>ქობულეთის ახალი შემოვლითი გზის მშენებლობა (დაახლოებით 32 კმ):
- პირველი მონაკვეთი (12+400 - კმ 31+259) გახსნილია, სამშენებლო სამუშაოები დასრულდა მეორე მონაკვეთზეც (18 კმ), მოძრაობა გახსნილია.
- ხევი-არგვეთას მონაკვეთზე დასრულდა დეტალური პროექტის მომზადების სამუშაოები.
- თბილისის შემოსავლელი და ნატახტარი-ჟინვალის მონაკვეთზე მიმდინარეობს დეტალური პროექტის მომზადების სამუშაოები. პროგრამის დასრულების გამო, შეიცვალა აღნიშნული ხელშეკრულების დაფინანსების წყარო. ხელშეკრულება გადავიდა  ხევი-უბისას მონაკვეთის მშენებლობის პროექტში.</t>
  </si>
  <si>
    <t>ბაკურციხე-წნორის საავტომობილო გზის 16.6კმ-იანი მონაკვეთის სამშენებლო სამუშაოებზე ხელშეკრულება გაფორმდა ტენდერში გამარჯვებულ კომპანიასთან 2021 წლის 29 ნოემბერს.</t>
  </si>
  <si>
    <t>მდინარე რიონზე ფოთის ხიდისა და მისასვლელი გზების მშენებლობისთვის ტენდერში გამარჯვებულ კომპანიასთან ხელშეკრულება გაფორმდა 2021 წლის 29 ნოემბერს.</t>
  </si>
  <si>
    <t>საქართველოს სხვადასხვა რეგიონში (დაახლოებით 269 კმ საერთო სიგრძის) შიდასახელმწიფოებრივი და ადგილობრივი გზების რეაბილიტაცია; დასრულდა შიდა ქართლის, იმერეთის, აჭარის, რაჭა-ლეჩხუმისა და ქვემო სვანეთის რეგიონებში საავტომობილო გზებზე არსებული საგზაო მოძრაობის უსაფრთხოების გაუმჯობესების სამუშაოები;
- ბაკურციხე-წნორი და გურჯაანი-თელავის მონაკვეთი (დასრულდა დეტალური პროექტის მომზადება).  
- დასრულდა ბაკურციხე-გურჯაანის შემოვლითი გზის 15,5 კმ-იანი მონაკვეთის მშენებლობა.</t>
  </si>
  <si>
    <t xml:space="preserve">- გურიის რეგიონში შიდასახელმწიფოებრივი გზების მონაკვეთების რეაბილიტაცია (მიმდინარეობს სამუშაოები 7 ლოტზე);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რეაბილიტაცია პროექტირება-მშენებლობის პირობებით (სარეაბილიტაციო სამუშაოები დასრულდა ორ მონაკვეთზე; ხელშეკრულება შეწყდა ჟინვალი-ბარისახო-შატილის მონაკვეთის I და II ლოტზე. დარჩენილ სამუშაოებზე გამოცხადებულ ტენდერებში გამარჯვებულ კომპანიებთან ხელშეკრულებები გაფორმდა ორივე ლოტზე. პირველ ლოტზე სამუშაოები დასრულდა. მიმდინარეობს სამუშაოები მეორე ლოტზე). 
- ხელშეკრულებით ნაკისრი ვალდებულებების შეუსრულებლობის გამო, თიანეთი-ახმეტა-ყვარელი-ნინიგორის დაახლ. 30კმ-იანი მონაკვეთის სარეაბილიტაციო სამუშაოებზე გაფორმებული ხელშეკრულება შეწყდა. მიმდინარეობს დარჩენილ სამუშაოებზე გამოცხადებულ ტენდერში გამარჯვებულ კომპანიასთან ხელშეკრულება გაფორმების პროცედურები.
 </t>
  </si>
  <si>
    <t xml:space="preserve">  - ძირულა-ხარაგაული-მოლითი-ფონა-ჩუმათელეთის შიდასახელმწიფოებრივი გზის რეაბილიტაცია (პირველ ლოტზე მიმდინარეობს სამშენებლო სამუშაოები, მეორე ლოტზე კონტრაქტორი კომპანიის მიერ ხელშეკრულებით ნაკისრი ვალდებულებების შეუსრულებლობის გამო, ხელშეკრულება შეწყდა. მიმდინარეობს ბანკთან შეთანხმების პროცედურები დარჩენილ სამუშაოებზე ტენდერის გამოცხადების მიზნით. </t>
  </si>
  <si>
    <t xml:space="preserve">სკოლამდელ განათლებაზე წვდომის გაფართოება და  განათლებისა და სასწავლო გარემოს ხარისხის გაუმჯობესება. (მიმდინარე).
</t>
  </si>
  <si>
    <t>პროექტი Log-in Georgia (IBRD)</t>
  </si>
  <si>
    <t xml:space="preserve"> თბილისი-სენაკი-ლესელიძის საავტომობილო გზის ხევი-უბისას მონაკვეთის რეკონსტრუქცია - მშენებლობა (მიმდინარეობს სამშენებლო სამუშაოები).- თბილისის შემოსავლელი და ნატახტარი-ჟინვალის მონაკვეთებზე მიმდინარეობს დეტალური პროექტის მომზადების სამუშაოები.</t>
  </si>
  <si>
    <t>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წარმოება/გადამუშავება/რეალიზაციის კუთხით ინვესტიციების ხელშეწყობა
- მიმდინარეობს ტირიფონის სარწყავი სისტემის გ-3-2-1 გამანაწილებლის (გორის მუნიციპალიტეტი) შიდა ქსელის  რეაბილიტაციის სამუშაოები;
- მიმდინარეობს ტირიფონის სარწყავი სისტემის გ-3 გამანაწილებლის (გორის მუნიციპალიტეტი) შიდა ქსელის  რეაბილიტაცია.</t>
  </si>
  <si>
    <r>
      <t>ხელშეკრულების ხელმოწერის თარიღი</t>
    </r>
    <r>
      <rPr>
        <b/>
        <sz val="11"/>
        <color theme="1"/>
        <rFont val="Calibri"/>
        <family val="2"/>
      </rPr>
      <t>*</t>
    </r>
  </si>
  <si>
    <t xml:space="preserve">    - ბათუმის შემოვლითი, 14.3 კილომეტრიანი, ორზოლიანი გზის მშენებლობა (მიმდინარეობს  სამშენებლო სამუშაოები);
- სასესხო შეთანხმებით გათვალისწინებული მოვლა-შენახვის სამუშაოების ნაცვლად დაგეგმილი იყო თბილისი (გლდანი) - თიანეთის საავტომობილო გზის 21 კმ სიგრძის მონაკვეთის და 7 მეწყრული ზონის სარეაბილიტაციო სამუშაოები. ტენდერის გამოცხადებისთვის საჭირო დოკუმენტაციის მომზადებისა და ბანკთან შეთანხმების პროცედურების გაჭიანურების გამო, სამუშაოები განხორციელდება საბიუჯეტო სახსრებით.
- ბათუმი-სარფის მონაკვეთზე მიმდინარეობს დეტალური პროექტის მომზადების სამუშაოები (მიმდინარე)</t>
  </si>
  <si>
    <t>- აღმოსავლეთ-დასავლეთის ჩქაროსნული ავტომაგისტრალის ჩუმათელეთი - ხევის დაახლოებით 11 კილომეტრიან მონაკვეთზე არსებული ორზოლიანი გზის გაუმჯობესება ოთხზოლიან მაგისტრალად (მიმდინარეობს სამშენებლო სამუშაოები).</t>
  </si>
  <si>
    <t>ბათუმი (ანგისა) - ახალციხის  შიდასახელმწიფოებრივი გზის ხულო-ზარზმას მონაკვეთის რეაბილიტაცია - რეკონსტრუქციის ხელშეკრულებები შეწყდა.  გაფორმდა ხელშეკრულებები (ლოტი I და ლოტი II) ხელახლა გამოცხადებულ ტენდერში გამარჯვებულ კომპანიასთან (მიმდინარეობს სამუშაოები).  პირველი ლოტი ფინანსდება ქუვეითის ფონდის მიერ, მეორე ლოტი - საბიუჯეტო სახსრებით.</t>
  </si>
  <si>
    <t xml:space="preserve">  - ახალი ნაგავსაყრელის ( სოფელი მუხიანი) მოწყობა (მიმდინარეობს მოსამზადებელი სამუშაოები, მათ შორის საჯარო განხილვები მოსახლეობასთან);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</si>
  <si>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t xml:space="preserve"> - ზუგდიდი - მესტიის გზის რეაბილიტაცია (დასრულდა);
 - ანაკლიის ნაპირდაცვა- I  ფაზა (დასრულდა);
- თბილისში მეტროსადგური "უნივერსიტეტი" მშენებლობა (დასრულდა). 
 - თბილისი - რუსთავის ავტომაგისტრალის მშენებლობა I-II  მონაკვეთი (დასრულდა);
- თბილისი - რუსთავის ავტომაგისტრალის მშენებლობა II  მონაკვეთი (დასრულდა);
 - ანაკლიის ნაპირდაცვა-  II ფაზა (დასრულდა);
 - ქალაქ ბათუმში ნაპირდაცვის სამუშაოები (დასრულდა);
- თბილისის მეტროს რეაბილიტაცია  (მეტროს ელექტროგაყვანილობის და სავენტილაციო სისტემის გამოცვლა) (დასრულდა).</t>
  </si>
  <si>
    <t>ქვემო ქართლის რეგიონში (თეთრიწყარო) ახალი ნაგავსაყრელის მშენებლობა (მიმდინარეობს მოსამზადებელი სამუშაოები; სამშენებლო სამუშაოები დაიწყება 2022 წლის ბოლოს).</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</si>
  <si>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 - თბილისში 2015 წელს წყალდიდობის შედეგად დაზიანებული ინფრასტრუქტურის რეაბილიტაცია (დასრულებული).</t>
  </si>
  <si>
    <t xml:space="preserve"> „საცხოვრებლად ვარგისი ქალაქების საინვესტიციო პროგრამი“-ს ფარგლებში დაგეგმილი პროექტების მოსამზადებელი ღონისძიებები (პროექტების ტექნიკურ-ეკონომიკური კვლევის ჩატარება, სოციალური და გარემოსდაცვითი გარემოებების დეტალური შესწავლა,  საპროექტო და სატენდერო დოკუმენტაციის მომზადება და სხვა) (მიმდინარე).</t>
  </si>
  <si>
    <t>მუნიციპალური ინფრასტრუქტურისა და მომსახურების გაუმჯობესება, ურბანული განახლება, საზოგადოებრივი და ტურისტული სატრანსპორტო ინფრასტრუქტურის განვითარება საქართველოს რეგიონებსა და თბილისში (ძალაში შესვლისათვის საჭირო პროცედურების ეტაპზეა).</t>
  </si>
  <si>
    <t>საქართველოს 6 ქალაქისთვის (გორი, ქუთაისი, ფოთი,რუსთავი,თელავი და ზუგდიდი) 175 ერთეული ახალი ავტობუსის შეძენა და მოძველებული მუნიციპალური  ტრანსპორტის რეაბილიტაცია. ავტობუსები სრულად მოწოდებულია. მიმდინარეობს სესხის ფარგლებში არსებული დანაზოგის (143,000 ევრო) გამოყენების თაობაზე კონსულტაციები დონორთან.</t>
  </si>
  <si>
    <t xml:space="preserve">დაბა ბაკურიანში მომსახურების ხარისხისა და უსაფრთხოების ზომების გაუმჯობესებისთვის, სპეციალური ტექნიკის შესყიდვა. 10 ავტობუსი მოწოდებულია, ტექნიკის სრულად შეძენილია და მიწოდებული მუნიციპალიტეტისთვის.
მიმდინარეობს სესხის ფარგლებში არსებული დანაზოგის (1,500,000 ევრო) გამოყენების თაობაზე კონსულტაციები დონორთან.
</t>
  </si>
  <si>
    <t>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 
 - საბაგირო N1 ცენტრი - სანატორიუმი (დასრულებული);
 - საბაგირო N2 ცენტრი - ლეჟუბანი(დასრულებული);
 - საბაგირო N3 ცენტრი - ნაგუთი (დასრულებული);
 - საბაგირო N4 ცენტრი - მუხაძე (დასრულებული);</t>
  </si>
  <si>
    <t>ქალაქ ქუთაისის წყალარინების სისტემის და გამწმენდი ნაგებობის მშენებლობა (მიმდინარეობს) სარეაბილიტაციო სამუშაოების  პროექტირებისა  და ზედამხედველობის მომსახურების  შესყიდვასთან დაკავშირებული კონსულტანტთან გაფორმდა ხელშეკრულება). კონსულტანტი მუშაობს რედიზაინზე, შემდეგი ეტაპია დეტალური დიზაინის გაკეთება და სატენდერო დოკუმენტაციაზე მუშაობა.</t>
  </si>
  <si>
    <t>ბათუმში წყალმომარაგების და წყალარინების სისტემის რეაბილიტაცია და გაფართოება (დასრულებული).</t>
  </si>
  <si>
    <t>პროექტი ითვალისწინებს აჭარის ავტონომიური რესპუბლიკის ხულოს, ქედას და შუახევის,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რეაბილიტაციას.(მიმდინარე)</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</si>
  <si>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(დასრულდა);
 - ბათუმში სანიაღვრე სისტემის ნაწილის რეაბილიტაცია (დასრულდა);
 - ბათუმში წყლის მრიცხველების დამონტაჟება (დასრულდა).</t>
  </si>
  <si>
    <t>(i) საზოგადოებრივი ჯანდაცვის სქემების დაფინანსებას, რომელიც ეხება ზოგადად საზოგადოებრივ ჯანდაცვის სფეროს (მთელს საქართველოში სამედიცინო ინფრასტრუქტურის განახლება, მშენებლობა და აღჭურვა); და (ii) COVID19 სპეციფიკური სქემები , რომლებიც ეხება COVID-19 პანდემიაზე რეაგირებას (მიმდინარე)</t>
  </si>
  <si>
    <r>
      <t>საგ</t>
    </r>
    <r>
      <rPr>
        <sz val="11"/>
        <color theme="1"/>
        <rFont val="Franklin Gothic Book"/>
        <family val="2"/>
        <scheme val="minor"/>
      </rPr>
      <t>ანმანათლებლო ინფრასტრუქტურის გაუმჯობესება სწავლის მხარდასაჭერად (მიმდინარე).</t>
    </r>
  </si>
  <si>
    <t xml:space="preserve">თბილისის  საჯარო სკოლის რეკონსტრუქცია-გამაგრება და აღნიშნულ სკოლებში ენერგო ეფექტურობის გაზრდა (მიმდინარეობს სამშენებლო სამუშაოები). </t>
  </si>
  <si>
    <t>თბილისის მეტროს ვაგონების (დაახლოებით 44 ერთეული) შეძენა; მეტროს დეპოსა და გვირაბის რეაბილიტაცია.
ვაგონების შესაძენად გაფორმდა კონტრაქტი გამარჯვებულ კომპანიასთან. ვაგონების შესყიდვა და შემოტანა იგეგმება 2022 წლის ბოლოს - 2023 წლის დასაწყისში. 
მიმდინარეობს მეტროს ტუნელისა და დეპოს რეაბილიტაციისთვის საჭირო სატენდერო დოკუმენტაციის მომზადება.</t>
  </si>
  <si>
    <t>პროექტის მიზანია საქართველოში პროფესიული განათლებისა და ტრენინგის სექტორის გაუმჯობესება. ორი უნარების ჰაბის შექმნა ქუთაისსა და თელავში არსებულ პროფესიულ საგანმანათლებლო დაწესებულებებში მაღალი ხარისხის და შესაბამისი მომზადებისმისაღებად პრიორიტეტულ ეკონომიკურ სექტორებში; პროფესიული პროგრამების დანერგვა დაახლოებით 20 ზოგადსაგანმანათლებლო სკოლაში, მათ შორის დაწესებულებების განახლება, მშენებლობა, სემინარებისთვის აღჭურვა, პრიორიტეტულ ეკონომიკურ სექტორებში CBTA პროფესიული პროგრამების შემუშავება და სკოლის მენეჯერებისა და მასწავლებლების შესაძლებლობების განვითარება; კარიერული სახელმძღვანელოსა და საკონსულტაციო სისტემის ჩამოყალიბება, სექტორული უნარების ორგანიზაციების შექმნა შვიდ პრიორიტეტულ ეკონომიკურ სექტორში; პროფესიული საგანმანათლებლო პროგრამების კერძო მართვის პილოტირება (მიმდინარე).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</si>
</sst>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dd\.mm\.yyyy"/>
    <numFmt numFmtId="166" formatCode="#,##0.00000"/>
    <numFmt numFmtId="167" formatCode="#,##0.000000000000"/>
  </numFmts>
  <fonts count="2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sz val="14"/>
      <color theme="1"/>
      <name val="Franklin Gothic Book"/>
      <family val="2"/>
      <scheme val="minor"/>
    </font>
    <font>
      <sz val="12"/>
      <name val="Franklin Gothic Book"/>
      <family val="1"/>
      <scheme val="minor"/>
    </font>
    <font>
      <b/>
      <sz val="12"/>
      <color theme="1"/>
      <name val="Franklin Gothic Book"/>
      <family val="2"/>
      <scheme val="minor"/>
    </font>
    <font>
      <sz val="11"/>
      <name val="Franklin Gothic Book"/>
      <family val="2"/>
      <scheme val="minor"/>
    </font>
    <font>
      <sz val="14"/>
      <color rgb="FFFF0000"/>
      <name val="Franklin Gothic Book"/>
      <family val="2"/>
      <scheme val="minor"/>
    </font>
    <font>
      <sz val="18"/>
      <name val="Franklin Gothic Book"/>
      <family val="2"/>
      <scheme val="minor"/>
    </font>
    <font>
      <b/>
      <sz val="11"/>
      <name val="Franklin Gothic Book"/>
      <family val="2"/>
      <scheme val="minor"/>
    </font>
    <font>
      <sz val="11"/>
      <color theme="1"/>
      <name val="Franklin Gothic Book"/>
      <family val="2"/>
      <charset val="204"/>
      <scheme val="minor"/>
    </font>
    <font>
      <b/>
      <sz val="16"/>
      <name val="Franklin Gothic Book"/>
      <family val="2"/>
      <scheme val="minor"/>
    </font>
    <font>
      <b/>
      <sz val="11"/>
      <color theme="1"/>
      <name val="Franklin Gothic Book"/>
      <family val="2"/>
      <scheme val="minor"/>
    </font>
    <font>
      <sz val="10"/>
      <name val="Franklin Gothic Book"/>
      <family val="2"/>
      <scheme val="minor"/>
    </font>
    <font>
      <sz val="10"/>
      <color theme="1"/>
      <name val="Franklin Gothic Book"/>
      <family val="2"/>
      <scheme val="minor"/>
    </font>
    <font>
      <sz val="10.5"/>
      <color theme="1"/>
      <name val="Franklin Gothic Book"/>
      <family val="2"/>
      <scheme val="minor"/>
    </font>
    <font>
      <b/>
      <sz val="11"/>
      <color theme="1"/>
      <name val="Calibri"/>
      <family val="2"/>
    </font>
    <font>
      <sz val="11"/>
      <name val="Franklin Gothic Book"/>
      <family val="2"/>
      <charset val="204"/>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47">
    <border>
      <left/>
      <right/>
      <top/>
      <bottom/>
      <diagonal/>
    </border>
    <border>
      <left style="thin">
        <color indexed="64"/>
      </left>
      <right style="thin">
        <color indexed="64"/>
      </right>
      <top style="thin">
        <color indexed="64"/>
      </top>
      <bottom style="medium">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style="dotted">
        <color theme="0" tint="-0.499984740745262"/>
      </top>
      <bottom style="dotted">
        <color indexed="64"/>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bottom style="dotted">
        <color indexed="64"/>
      </bottom>
      <diagonal/>
    </border>
    <border>
      <left style="dotted">
        <color theme="0" tint="-0.499984740745262"/>
      </left>
      <right/>
      <top style="dotted">
        <color theme="0" tint="-0.499984740745262"/>
      </top>
      <bottom/>
      <diagonal/>
    </border>
    <border>
      <left style="dotted">
        <color theme="0" tint="-0.499984740745262"/>
      </left>
      <right/>
      <top/>
      <bottom/>
      <diagonal/>
    </border>
    <border>
      <left style="dotted">
        <color theme="0" tint="-0.499984740745262"/>
      </left>
      <right/>
      <top/>
      <bottom style="dotted">
        <color theme="1" tint="4.9989318521683403E-2"/>
      </bottom>
      <diagonal/>
    </border>
    <border>
      <left/>
      <right style="dotted">
        <color theme="0" tint="-0.499984740745262"/>
      </right>
      <top style="dotted">
        <color theme="0" tint="-0.499984740745262"/>
      </top>
      <bottom/>
      <diagonal/>
    </border>
    <border>
      <left/>
      <right style="dotted">
        <color theme="0" tint="-0.499984740745262"/>
      </right>
      <top/>
      <bottom/>
      <diagonal/>
    </border>
    <border>
      <left/>
      <right style="dotted">
        <color theme="0" tint="-0.499984740745262"/>
      </right>
      <top/>
      <bottom style="dotted">
        <color theme="1" tint="4.9989318521683403E-2"/>
      </bottom>
      <diagonal/>
    </border>
    <border>
      <left style="thin">
        <color indexed="64"/>
      </left>
      <right style="thin">
        <color indexed="64"/>
      </right>
      <top style="thin">
        <color indexed="64"/>
      </top>
      <bottom style="thin">
        <color indexed="64"/>
      </bottom>
      <diagonal/>
    </border>
    <border>
      <left style="thin">
        <color indexed="64"/>
      </left>
      <right style="dotted">
        <color theme="0" tint="-0.499984740745262"/>
      </right>
      <top/>
      <bottom style="dotted">
        <color theme="0" tint="-0.499984740745262"/>
      </bottom>
      <diagonal/>
    </border>
    <border>
      <left style="dotted">
        <color theme="1" tint="4.9989318521683403E-2"/>
      </left>
      <right style="dotted">
        <color theme="1" tint="4.9989318521683403E-2"/>
      </right>
      <top/>
      <bottom/>
      <diagonal/>
    </border>
    <border>
      <left/>
      <right/>
      <top style="dotted">
        <color theme="0" tint="-0.499984740745262"/>
      </top>
      <bottom style="dotted">
        <color theme="0" tint="-0.499984740745262"/>
      </bottom>
      <diagonal/>
    </border>
    <border>
      <left style="thin">
        <color indexed="64"/>
      </left>
      <right/>
      <top style="medium">
        <color indexed="64"/>
      </top>
      <bottom/>
      <diagonal/>
    </border>
    <border>
      <left/>
      <right style="thin">
        <color indexed="64"/>
      </right>
      <top/>
      <bottom/>
      <diagonal/>
    </border>
    <border>
      <left style="dotted">
        <color theme="0" tint="-0.499984740745262"/>
      </left>
      <right style="thin">
        <color indexed="64"/>
      </right>
      <top/>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bottom style="dotted">
        <color theme="0" tint="-0.499984740745262"/>
      </bottom>
      <diagonal/>
    </border>
    <border>
      <left style="dotted">
        <color theme="0" tint="-0.499984740745262"/>
      </left>
      <right style="thin">
        <color indexed="64"/>
      </right>
      <top style="dotted">
        <color theme="0" tint="-0.499984740745262"/>
      </top>
      <bottom/>
      <diagonal/>
    </border>
    <border>
      <left style="thin">
        <color indexed="64"/>
      </left>
      <right style="dotted">
        <color theme="0" tint="-0.499984740745262"/>
      </right>
      <top style="dotted">
        <color theme="0" tint="-0.499984740745262"/>
      </top>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1" tint="4.9989318521683403E-2"/>
      </right>
      <top/>
      <bottom/>
      <diagonal/>
    </border>
    <border>
      <left style="dotted">
        <color theme="1" tint="4.9989318521683403E-2"/>
      </left>
      <right style="thin">
        <color indexed="64"/>
      </right>
      <top/>
      <bottom/>
      <diagonal/>
    </border>
    <border>
      <left style="thin">
        <color indexed="64"/>
      </left>
      <right style="dotted">
        <color theme="1" tint="4.9989318521683403E-2"/>
      </right>
      <top/>
      <bottom style="dotted">
        <color theme="1" tint="4.9989318521683403E-2"/>
      </bottom>
      <diagonal/>
    </border>
    <border>
      <left style="dotted">
        <color theme="1" tint="4.9989318521683403E-2"/>
      </left>
      <right style="thin">
        <color indexed="64"/>
      </right>
      <top/>
      <bottom style="dotted">
        <color theme="1" tint="4.9989318521683403E-2"/>
      </bottom>
      <diagonal/>
    </border>
    <border>
      <left style="thin">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thin">
        <color indexed="64"/>
      </right>
      <top style="dotted">
        <color theme="1" tint="4.9989318521683403E-2"/>
      </top>
      <bottom style="dotted">
        <color theme="1" tint="4.9989318521683403E-2"/>
      </bottom>
      <diagonal/>
    </border>
    <border>
      <left style="dotted">
        <color theme="1" tint="4.9989318521683403E-2"/>
      </left>
      <right style="thin">
        <color indexed="64"/>
      </right>
      <top style="dotted">
        <color theme="1" tint="4.9989318521683403E-2"/>
      </top>
      <bottom/>
      <diagonal/>
    </border>
    <border>
      <left style="thin">
        <color indexed="64"/>
      </left>
      <right/>
      <top/>
      <bottom/>
      <diagonal/>
    </border>
    <border>
      <left style="thin">
        <color indexed="64"/>
      </left>
      <right style="dotted">
        <color theme="0" tint="-0.499984740745262"/>
      </right>
      <top style="dotted">
        <color theme="0" tint="-0.499984740745262"/>
      </top>
      <bottom style="dotted">
        <color indexed="64"/>
      </bottom>
      <diagonal/>
    </border>
    <border>
      <left style="dotted">
        <color theme="0" tint="-0.499984740745262"/>
      </left>
      <right style="thin">
        <color indexed="64"/>
      </right>
      <top style="dotted">
        <color theme="0" tint="-0.499984740745262"/>
      </top>
      <bottom style="dotted">
        <color indexed="64"/>
      </bottom>
      <diagonal/>
    </border>
    <border>
      <left style="thin">
        <color indexed="64"/>
      </left>
      <right style="dotted">
        <color theme="0" tint="-0.499984740745262"/>
      </right>
      <top/>
      <bottom/>
      <diagonal/>
    </border>
    <border>
      <left style="thin">
        <color indexed="64"/>
      </left>
      <right style="dotted">
        <color theme="0" tint="-0.499984740745262"/>
      </right>
      <top style="dotted">
        <color indexed="64"/>
      </top>
      <bottom style="thin">
        <color indexed="64"/>
      </bottom>
      <diagonal/>
    </border>
    <border>
      <left style="dotted">
        <color theme="0" tint="-0.499984740745262"/>
      </left>
      <right style="dotted">
        <color theme="0" tint="-0.499984740745262"/>
      </right>
      <top style="dotted">
        <color indexed="64"/>
      </top>
      <bottom style="thin">
        <color indexed="64"/>
      </bottom>
      <diagonal/>
    </border>
    <border>
      <left style="dotted">
        <color theme="0" tint="-0.499984740745262"/>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278">
    <xf numFmtId="0" fontId="0" fillId="0" borderId="0" xfId="0"/>
    <xf numFmtId="0" fontId="6" fillId="0" borderId="0" xfId="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0" fontId="13" fillId="0" borderId="0" xfId="1" applyFont="1" applyFill="1" applyBorder="1" applyAlignment="1">
      <alignment vertical="center"/>
    </xf>
    <xf numFmtId="0" fontId="13" fillId="0" borderId="0" xfId="1" applyFont="1" applyFill="1" applyBorder="1" applyAlignment="1">
      <alignment vertical="center" wrapText="1"/>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15" fontId="6" fillId="0" borderId="0" xfId="1" applyNumberFormat="1" applyFont="1" applyFill="1" applyBorder="1" applyAlignment="1">
      <alignment vertical="center"/>
    </xf>
    <xf numFmtId="0" fontId="9" fillId="0" borderId="0" xfId="1" applyFont="1" applyFill="1" applyBorder="1" applyAlignment="1">
      <alignment vertical="center"/>
    </xf>
    <xf numFmtId="15" fontId="6" fillId="2" borderId="0" xfId="1" applyNumberFormat="1" applyFont="1" applyFill="1" applyBorder="1" applyAlignment="1">
      <alignment vertical="center"/>
    </xf>
    <xf numFmtId="167" fontId="6" fillId="0" borderId="0" xfId="1" applyNumberFormat="1" applyFont="1" applyFill="1" applyBorder="1" applyAlignment="1">
      <alignment vertical="center"/>
    </xf>
    <xf numFmtId="165" fontId="6" fillId="2" borderId="3" xfId="1" applyNumberFormat="1" applyFont="1" applyFill="1" applyBorder="1" applyAlignment="1">
      <alignment horizontal="center" vertical="center" wrapText="1"/>
    </xf>
    <xf numFmtId="164" fontId="6" fillId="0" borderId="3" xfId="1" quotePrefix="1" applyNumberFormat="1" applyFont="1" applyFill="1" applyBorder="1" applyAlignment="1">
      <alignment horizontal="center" vertical="center"/>
    </xf>
    <xf numFmtId="0" fontId="10" fillId="0" borderId="0" xfId="1" applyFont="1" applyFill="1" applyBorder="1" applyAlignment="1">
      <alignment vertical="center"/>
    </xf>
    <xf numFmtId="43" fontId="10" fillId="0" borderId="2" xfId="15" applyFont="1" applyFill="1" applyBorder="1" applyAlignment="1">
      <alignment horizontal="center" vertical="center"/>
    </xf>
    <xf numFmtId="49" fontId="6" fillId="0" borderId="0" xfId="1" applyNumberFormat="1" applyFont="1" applyFill="1" applyBorder="1" applyAlignment="1">
      <alignment horizontal="left" vertical="center" wrapText="1"/>
    </xf>
    <xf numFmtId="165" fontId="6" fillId="0" borderId="6" xfId="1" applyNumberFormat="1" applyFont="1" applyFill="1" applyBorder="1" applyAlignment="1">
      <alignment horizontal="center" vertical="center"/>
    </xf>
    <xf numFmtId="0" fontId="18" fillId="0" borderId="0" xfId="1" applyFont="1" applyFill="1" applyBorder="1" applyAlignment="1">
      <alignment vertical="center"/>
    </xf>
    <xf numFmtId="43" fontId="6" fillId="0" borderId="4" xfId="15" applyFont="1" applyFill="1" applyBorder="1" applyAlignment="1">
      <alignment horizontal="center" vertical="center"/>
    </xf>
    <xf numFmtId="164" fontId="6" fillId="0" borderId="4" xfId="1" applyNumberFormat="1" applyFont="1" applyFill="1" applyBorder="1" applyAlignment="1">
      <alignment horizontal="center" vertical="center" wrapText="1"/>
    </xf>
    <xf numFmtId="43" fontId="6" fillId="0" borderId="2" xfId="15" applyFont="1" applyFill="1" applyBorder="1" applyAlignment="1">
      <alignment horizontal="center" vertical="center"/>
    </xf>
    <xf numFmtId="165" fontId="6" fillId="2" borderId="2" xfId="1" applyNumberFormat="1" applyFont="1" applyFill="1" applyBorder="1" applyAlignment="1">
      <alignment horizontal="center" vertical="center"/>
    </xf>
    <xf numFmtId="165" fontId="6" fillId="2" borderId="9" xfId="1" applyNumberFormat="1" applyFont="1" applyFill="1" applyBorder="1" applyAlignment="1">
      <alignment horizontal="center" vertical="center" wrapText="1"/>
    </xf>
    <xf numFmtId="165" fontId="6" fillId="2" borderId="9" xfId="1" applyNumberFormat="1" applyFont="1" applyFill="1" applyBorder="1" applyAlignment="1">
      <alignment horizontal="center" vertical="center"/>
    </xf>
    <xf numFmtId="164" fontId="6" fillId="0" borderId="9" xfId="1" applyNumberFormat="1" applyFont="1" applyFill="1" applyBorder="1" applyAlignment="1">
      <alignment horizontal="center" vertical="center" wrapText="1"/>
    </xf>
    <xf numFmtId="164" fontId="10" fillId="0" borderId="6" xfId="1"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xf>
    <xf numFmtId="164" fontId="9" fillId="3" borderId="10" xfId="1" applyNumberFormat="1" applyFont="1" applyFill="1" applyBorder="1" applyAlignment="1">
      <alignment horizontal="center" vertical="center"/>
    </xf>
    <xf numFmtId="3" fontId="10" fillId="0" borderId="0" xfId="1" applyNumberFormat="1" applyFont="1" applyFill="1" applyBorder="1" applyAlignment="1">
      <alignment horizontal="right" vertical="center"/>
    </xf>
    <xf numFmtId="164" fontId="5" fillId="0" borderId="2" xfId="1" applyNumberFormat="1" applyFont="1" applyFill="1" applyBorder="1" applyAlignment="1">
      <alignment horizontal="center" vertical="center"/>
    </xf>
    <xf numFmtId="165" fontId="5" fillId="0" borderId="2" xfId="1" applyNumberFormat="1" applyFont="1" applyBorder="1" applyAlignment="1">
      <alignment horizontal="center" vertical="center" wrapText="1"/>
    </xf>
    <xf numFmtId="165" fontId="5" fillId="2" borderId="2" xfId="1" applyNumberFormat="1" applyFont="1" applyFill="1" applyBorder="1" applyAlignment="1">
      <alignment horizontal="center" vertical="center" wrapText="1"/>
    </xf>
    <xf numFmtId="164" fontId="5" fillId="0" borderId="2" xfId="1" applyNumberFormat="1" applyFont="1" applyBorder="1" applyAlignment="1">
      <alignment horizontal="center" vertical="center"/>
    </xf>
    <xf numFmtId="165" fontId="5" fillId="0" borderId="2" xfId="1" applyNumberFormat="1" applyFont="1" applyFill="1" applyBorder="1" applyAlignment="1">
      <alignment horizontal="center" vertical="center" wrapText="1"/>
    </xf>
    <xf numFmtId="164" fontId="5" fillId="2" borderId="2" xfId="1" applyNumberFormat="1" applyFont="1" applyFill="1" applyBorder="1" applyAlignment="1">
      <alignment horizontal="center" vertical="center"/>
    </xf>
    <xf numFmtId="164" fontId="6" fillId="0" borderId="3" xfId="1" applyNumberFormat="1" applyFont="1" applyBorder="1" applyAlignment="1">
      <alignment horizontal="center" vertical="center"/>
    </xf>
    <xf numFmtId="49" fontId="17" fillId="0" borderId="0" xfId="1" applyNumberFormat="1" applyFont="1" applyFill="1" applyBorder="1" applyAlignment="1">
      <alignment vertical="center"/>
    </xf>
    <xf numFmtId="49" fontId="20" fillId="0" borderId="0" xfId="1" applyNumberFormat="1" applyFont="1" applyFill="1" applyBorder="1" applyAlignment="1">
      <alignment vertical="center"/>
    </xf>
    <xf numFmtId="49" fontId="20" fillId="0" borderId="0" xfId="1" applyNumberFormat="1" applyFont="1" applyFill="1" applyBorder="1" applyAlignment="1" applyProtection="1">
      <alignment horizontal="left" vertical="center" wrapText="1" readingOrder="1"/>
      <protection locked="0"/>
    </xf>
    <xf numFmtId="164" fontId="6" fillId="0" borderId="9" xfId="1" applyNumberFormat="1" applyFont="1" applyBorder="1" applyAlignment="1">
      <alignment horizontal="center" vertical="center"/>
    </xf>
    <xf numFmtId="164" fontId="20" fillId="3" borderId="10" xfId="1" applyNumberFormat="1" applyFont="1" applyFill="1" applyBorder="1" applyAlignment="1">
      <alignment horizontal="center" vertical="center"/>
    </xf>
    <xf numFmtId="164" fontId="6" fillId="0" borderId="8" xfId="1" applyNumberFormat="1" applyFont="1" applyFill="1" applyBorder="1" applyAlignment="1">
      <alignment vertical="center"/>
    </xf>
    <xf numFmtId="165" fontId="5" fillId="0" borderId="3" xfId="1" applyNumberFormat="1" applyFont="1" applyFill="1" applyBorder="1" applyAlignment="1">
      <alignment horizontal="center" vertical="center" wrapText="1"/>
    </xf>
    <xf numFmtId="164" fontId="5" fillId="0" borderId="8"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wrapText="1"/>
    </xf>
    <xf numFmtId="165" fontId="5" fillId="2" borderId="6" xfId="1"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wrapText="1"/>
    </xf>
    <xf numFmtId="165" fontId="5" fillId="0" borderId="4" xfId="1" quotePrefix="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xf>
    <xf numFmtId="43" fontId="5" fillId="0" borderId="4" xfId="15" applyFont="1" applyFill="1" applyBorder="1" applyAlignment="1">
      <alignment horizontal="center" vertical="center"/>
    </xf>
    <xf numFmtId="164" fontId="5" fillId="0" borderId="4" xfId="1" applyNumberFormat="1" applyFont="1" applyFill="1" applyBorder="1" applyAlignment="1">
      <alignment horizontal="center" vertical="center" wrapText="1"/>
    </xf>
    <xf numFmtId="0" fontId="6" fillId="0" borderId="0" xfId="1" applyFont="1" applyAlignment="1">
      <alignment vertical="center"/>
    </xf>
    <xf numFmtId="0" fontId="22" fillId="0" borderId="0" xfId="1" applyFont="1" applyFill="1" applyBorder="1" applyAlignment="1">
      <alignment vertical="center"/>
    </xf>
    <xf numFmtId="165" fontId="6" fillId="2" borderId="4"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xf>
    <xf numFmtId="164" fontId="9" fillId="3" borderId="18" xfId="1" applyNumberFormat="1" applyFont="1" applyFill="1" applyBorder="1" applyAlignment="1">
      <alignment horizontal="center" vertical="center"/>
    </xf>
    <xf numFmtId="164" fontId="20" fillId="3" borderId="18" xfId="1" applyNumberFormat="1" applyFont="1" applyFill="1" applyBorder="1" applyAlignment="1">
      <alignment horizontal="center" vertical="center"/>
    </xf>
    <xf numFmtId="164" fontId="7" fillId="0" borderId="18" xfId="1" applyNumberFormat="1" applyFont="1" applyFill="1" applyBorder="1" applyAlignment="1">
      <alignment horizontal="center" vertical="center"/>
    </xf>
    <xf numFmtId="164" fontId="7" fillId="3" borderId="18" xfId="1" applyNumberFormat="1" applyFont="1" applyFill="1" applyBorder="1" applyAlignment="1">
      <alignment horizontal="center" vertical="center"/>
    </xf>
    <xf numFmtId="49" fontId="20" fillId="3" borderId="18" xfId="1" applyNumberFormat="1" applyFont="1" applyFill="1" applyBorder="1" applyAlignment="1">
      <alignment horizontal="center" vertical="center"/>
    </xf>
    <xf numFmtId="0" fontId="5" fillId="0" borderId="19" xfId="1" applyFont="1" applyBorder="1" applyAlignment="1">
      <alignment horizontal="left" vertical="center" wrapText="1"/>
    </xf>
    <xf numFmtId="165" fontId="5" fillId="0" borderId="6" xfId="1" quotePrefix="1" applyNumberFormat="1" applyFont="1" applyBorder="1" applyAlignment="1">
      <alignment horizontal="center" vertical="center" wrapText="1"/>
    </xf>
    <xf numFmtId="164" fontId="5" fillId="0" borderId="6" xfId="1" applyNumberFormat="1" applyFont="1" applyBorder="1" applyAlignment="1">
      <alignment horizontal="center" vertical="center" wrapText="1"/>
    </xf>
    <xf numFmtId="164" fontId="6" fillId="0" borderId="7" xfId="1" applyNumberFormat="1" applyFont="1" applyBorder="1" applyAlignment="1">
      <alignment horizontal="center" vertical="center"/>
    </xf>
    <xf numFmtId="164" fontId="6" fillId="5" borderId="0" xfId="1" applyNumberFormat="1" applyFont="1" applyFill="1" applyBorder="1" applyAlignment="1">
      <alignment horizontal="center" vertical="center" wrapText="1"/>
    </xf>
    <xf numFmtId="165" fontId="5" fillId="0" borderId="8" xfId="1" applyNumberFormat="1" applyFont="1" applyFill="1" applyBorder="1" applyAlignment="1">
      <alignment horizontal="center" vertical="center" wrapText="1"/>
    </xf>
    <xf numFmtId="164" fontId="9" fillId="4" borderId="18" xfId="1" applyNumberFormat="1" applyFont="1" applyFill="1" applyBorder="1" applyAlignment="1">
      <alignment horizontal="center" vertical="center"/>
    </xf>
    <xf numFmtId="164" fontId="14" fillId="4" borderId="18" xfId="1" applyNumberFormat="1" applyFont="1" applyFill="1" applyBorder="1" applyAlignment="1">
      <alignment horizontal="center" vertical="center"/>
    </xf>
    <xf numFmtId="49" fontId="20" fillId="4" borderId="18" xfId="1" applyNumberFormat="1" applyFont="1" applyFill="1" applyBorder="1" applyAlignment="1">
      <alignment horizontal="center" vertical="center"/>
    </xf>
    <xf numFmtId="49" fontId="17" fillId="0" borderId="27" xfId="1" applyNumberFormat="1" applyFont="1" applyFill="1" applyBorder="1" applyAlignment="1">
      <alignment horizontal="left" vertical="center" wrapText="1"/>
    </xf>
    <xf numFmtId="0" fontId="6" fillId="0" borderId="25" xfId="1" applyFont="1" applyFill="1" applyBorder="1" applyAlignment="1">
      <alignment vertical="center" wrapText="1"/>
    </xf>
    <xf numFmtId="0" fontId="6" fillId="0" borderId="28" xfId="1" applyFont="1" applyFill="1" applyBorder="1" applyAlignment="1">
      <alignment vertical="center" wrapText="1"/>
    </xf>
    <xf numFmtId="0" fontId="6" fillId="0" borderId="34" xfId="1" applyFont="1" applyFill="1" applyBorder="1" applyAlignment="1">
      <alignment horizontal="left" vertical="center" wrapText="1"/>
    </xf>
    <xf numFmtId="49" fontId="1" fillId="0" borderId="35" xfId="1" applyNumberFormat="1" applyFont="1" applyFill="1" applyBorder="1" applyAlignment="1">
      <alignment horizontal="left" vertical="center" wrapText="1"/>
    </xf>
    <xf numFmtId="0" fontId="5" fillId="0" borderId="34" xfId="1" applyFont="1" applyFill="1" applyBorder="1" applyAlignment="1">
      <alignment horizontal="left" vertical="center" wrapText="1"/>
    </xf>
    <xf numFmtId="0" fontId="6" fillId="0" borderId="32" xfId="1" applyFont="1" applyFill="1" applyBorder="1" applyAlignment="1">
      <alignment vertical="center" wrapText="1"/>
    </xf>
    <xf numFmtId="49" fontId="17" fillId="0" borderId="33" xfId="1" applyNumberFormat="1" applyFont="1" applyFill="1" applyBorder="1" applyAlignment="1">
      <alignment vertical="center" wrapText="1"/>
    </xf>
    <xf numFmtId="49" fontId="21" fillId="0" borderId="35" xfId="1" applyNumberFormat="1" applyFont="1" applyFill="1" applyBorder="1" applyAlignment="1">
      <alignment horizontal="left" vertical="center" wrapText="1"/>
    </xf>
    <xf numFmtId="0" fontId="6" fillId="0" borderId="37" xfId="1" applyFont="1" applyFill="1" applyBorder="1" applyAlignment="1">
      <alignment horizontal="left" vertical="center" wrapText="1"/>
    </xf>
    <xf numFmtId="0" fontId="5" fillId="0" borderId="19" xfId="1" applyFont="1" applyFill="1" applyBorder="1" applyAlignment="1">
      <alignment horizontal="left" vertical="center" wrapText="1"/>
    </xf>
    <xf numFmtId="49" fontId="17" fillId="0" borderId="24" xfId="1" applyNumberFormat="1" applyFont="1" applyFill="1" applyBorder="1" applyAlignment="1">
      <alignment horizontal="left" vertical="center" wrapText="1"/>
    </xf>
    <xf numFmtId="0" fontId="5" fillId="0" borderId="25" xfId="1" applyFont="1" applyFill="1" applyBorder="1" applyAlignment="1">
      <alignment horizontal="left" vertical="center" wrapText="1"/>
    </xf>
    <xf numFmtId="49" fontId="0" fillId="0" borderId="26" xfId="1" applyNumberFormat="1" applyFont="1" applyFill="1" applyBorder="1" applyAlignment="1">
      <alignment horizontal="left" vertical="center" wrapText="1"/>
    </xf>
    <xf numFmtId="0" fontId="6" fillId="0" borderId="25" xfId="4" applyFont="1" applyFill="1" applyBorder="1" applyAlignment="1">
      <alignment horizontal="left" vertical="center" wrapText="1"/>
    </xf>
    <xf numFmtId="49" fontId="17" fillId="2" borderId="27" xfId="1" applyNumberFormat="1" applyFont="1" applyFill="1" applyBorder="1" applyAlignment="1">
      <alignment horizontal="left" vertical="center" wrapText="1"/>
    </xf>
    <xf numFmtId="49" fontId="21" fillId="0" borderId="27" xfId="1" applyNumberFormat="1" applyFont="1" applyFill="1" applyBorder="1" applyAlignment="1">
      <alignment horizontal="left" vertical="center" wrapText="1"/>
    </xf>
    <xf numFmtId="49" fontId="0" fillId="2" borderId="26" xfId="1" applyNumberFormat="1" applyFont="1" applyFill="1" applyBorder="1" applyAlignment="1">
      <alignment horizontal="left" vertical="center" wrapText="1"/>
    </xf>
    <xf numFmtId="49" fontId="1" fillId="2" borderId="26" xfId="1" applyNumberFormat="1" applyFont="1" applyFill="1" applyBorder="1" applyAlignment="1">
      <alignment horizontal="left" vertical="center" wrapText="1"/>
    </xf>
    <xf numFmtId="49" fontId="1" fillId="0" borderId="29" xfId="1" applyNumberFormat="1" applyFont="1" applyFill="1" applyBorder="1" applyAlignment="1">
      <alignment vertical="center" wrapText="1"/>
    </xf>
    <xf numFmtId="0" fontId="6" fillId="0" borderId="28" xfId="4" applyFont="1" applyFill="1" applyBorder="1" applyAlignment="1">
      <alignment horizontal="left" vertical="center" wrapText="1"/>
    </xf>
    <xf numFmtId="49" fontId="21" fillId="0" borderId="29" xfId="1" applyNumberFormat="1" applyFont="1" applyFill="1" applyBorder="1" applyAlignment="1">
      <alignment horizontal="left" vertical="center" wrapText="1"/>
    </xf>
    <xf numFmtId="0" fontId="5" fillId="0" borderId="28" xfId="4" applyFont="1" applyFill="1" applyBorder="1" applyAlignment="1">
      <alignment horizontal="left" vertical="center" wrapText="1"/>
    </xf>
    <xf numFmtId="49" fontId="17" fillId="0" borderId="39" xfId="1" applyNumberFormat="1" applyFont="1" applyFill="1" applyBorder="1" applyAlignment="1">
      <alignment horizontal="left" vertical="center" wrapText="1"/>
    </xf>
    <xf numFmtId="0" fontId="5" fillId="0" borderId="41" xfId="4" applyFont="1" applyFill="1" applyBorder="1" applyAlignment="1">
      <alignment horizontal="left" vertical="center" wrapText="1"/>
    </xf>
    <xf numFmtId="165" fontId="5" fillId="0" borderId="42" xfId="1" quotePrefix="1" applyNumberFormat="1" applyFont="1" applyFill="1" applyBorder="1" applyAlignment="1">
      <alignment horizontal="center" vertical="center" wrapText="1"/>
    </xf>
    <xf numFmtId="164" fontId="5" fillId="0" borderId="42" xfId="1" applyNumberFormat="1" applyFont="1" applyFill="1" applyBorder="1" applyAlignment="1">
      <alignment horizontal="center" vertical="center"/>
    </xf>
    <xf numFmtId="164" fontId="5" fillId="0" borderId="42" xfId="1" applyNumberFormat="1" applyFont="1" applyBorder="1" applyAlignment="1">
      <alignment horizontal="center" vertical="center"/>
    </xf>
    <xf numFmtId="43" fontId="5" fillId="0" borderId="42" xfId="15" applyFont="1" applyFill="1" applyBorder="1" applyAlignment="1">
      <alignment horizontal="center" vertical="center"/>
    </xf>
    <xf numFmtId="164" fontId="5" fillId="0" borderId="42" xfId="1" applyNumberFormat="1" applyFont="1" applyFill="1" applyBorder="1" applyAlignment="1">
      <alignment horizontal="center" vertical="center" wrapText="1"/>
    </xf>
    <xf numFmtId="0" fontId="6" fillId="0" borderId="25" xfId="1" applyFont="1" applyFill="1" applyBorder="1" applyAlignment="1">
      <alignment horizontal="left" vertical="center" wrapText="1"/>
    </xf>
    <xf numFmtId="165" fontId="6" fillId="0" borderId="4"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5" fontId="6" fillId="0" borderId="6"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9" fontId="1" fillId="0" borderId="27" xfId="1" applyNumberFormat="1" applyFont="1" applyFill="1" applyBorder="1" applyAlignment="1">
      <alignment horizontal="left" vertical="center" wrapText="1"/>
    </xf>
    <xf numFmtId="49" fontId="1" fillId="0" borderId="26" xfId="1" applyNumberFormat="1" applyFont="1" applyFill="1" applyBorder="1" applyAlignment="1">
      <alignment horizontal="left" vertical="center" wrapText="1"/>
    </xf>
    <xf numFmtId="164" fontId="6" fillId="0" borderId="4" xfId="1" applyNumberFormat="1" applyFont="1" applyFill="1" applyBorder="1" applyAlignment="1">
      <alignment horizontal="center" vertical="center"/>
    </xf>
    <xf numFmtId="165" fontId="6" fillId="2" borderId="6" xfId="1" applyNumberFormat="1" applyFont="1" applyFill="1" applyBorder="1" applyAlignment="1">
      <alignment horizontal="center" vertical="center" wrapText="1"/>
    </xf>
    <xf numFmtId="164" fontId="6" fillId="0" borderId="7" xfId="1" applyNumberFormat="1" applyFont="1" applyFill="1" applyBorder="1" applyAlignment="1">
      <alignment horizontal="center" vertical="center"/>
    </xf>
    <xf numFmtId="164" fontId="6" fillId="0" borderId="8"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165" fontId="6" fillId="0" borderId="7" xfId="1" applyNumberFormat="1" applyFont="1" applyFill="1" applyBorder="1" applyAlignment="1">
      <alignment horizontal="center" vertical="center" wrapText="1"/>
    </xf>
    <xf numFmtId="164" fontId="6" fillId="0" borderId="9" xfId="1" applyNumberFormat="1" applyFont="1" applyFill="1" applyBorder="1" applyAlignment="1">
      <alignment horizontal="center" vertical="center"/>
    </xf>
    <xf numFmtId="165" fontId="6" fillId="2" borderId="2" xfId="1" applyNumberFormat="1"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49" fontId="17" fillId="0" borderId="26" xfId="1" applyNumberFormat="1" applyFont="1" applyFill="1" applyBorder="1" applyAlignment="1">
      <alignment horizontal="left" vertical="center" wrapText="1"/>
    </xf>
    <xf numFmtId="49" fontId="17" fillId="0" borderId="35" xfId="1" applyNumberFormat="1" applyFont="1" applyFill="1" applyBorder="1" applyAlignment="1">
      <alignment horizontal="left" vertical="center" wrapText="1"/>
    </xf>
    <xf numFmtId="49" fontId="17" fillId="2" borderId="26" xfId="1" applyNumberFormat="1" applyFont="1" applyFill="1" applyBorder="1" applyAlignment="1">
      <alignment horizontal="left" vertical="center" wrapText="1"/>
    </xf>
    <xf numFmtId="49" fontId="17" fillId="2" borderId="29" xfId="1" applyNumberFormat="1" applyFont="1" applyFill="1" applyBorder="1" applyAlignment="1">
      <alignment horizontal="left" vertical="center" wrapText="1"/>
    </xf>
    <xf numFmtId="49" fontId="17" fillId="0" borderId="29" xfId="1" applyNumberFormat="1" applyFont="1" applyFill="1" applyBorder="1" applyAlignment="1">
      <alignment horizontal="left" vertical="center" wrapText="1"/>
    </xf>
    <xf numFmtId="164" fontId="6" fillId="0" borderId="3" xfId="1" applyNumberFormat="1" applyFont="1" applyFill="1" applyBorder="1" applyAlignment="1">
      <alignment horizontal="center" vertical="center" wrapText="1"/>
    </xf>
    <xf numFmtId="164" fontId="6" fillId="0" borderId="2" xfId="1" applyNumberFormat="1" applyFont="1" applyBorder="1" applyAlignment="1">
      <alignment horizontal="center" vertical="center"/>
    </xf>
    <xf numFmtId="164" fontId="6" fillId="2" borderId="2" xfId="1" applyNumberFormat="1" applyFont="1" applyFill="1" applyBorder="1" applyAlignment="1">
      <alignment horizontal="center" vertical="center"/>
    </xf>
    <xf numFmtId="0" fontId="6" fillId="0" borderId="19"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6" fillId="0" borderId="32" xfId="1" applyFont="1" applyFill="1" applyBorder="1" applyAlignment="1">
      <alignment horizontal="left" vertical="center" wrapText="1"/>
    </xf>
    <xf numFmtId="164" fontId="5" fillId="0" borderId="8"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wrapText="1"/>
    </xf>
    <xf numFmtId="164" fontId="6" fillId="0" borderId="4"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6"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6" fillId="0" borderId="28" xfId="1" applyFont="1" applyFill="1" applyBorder="1" applyAlignment="1">
      <alignment horizontal="left" vertical="center" wrapText="1"/>
    </xf>
    <xf numFmtId="0" fontId="6" fillId="2" borderId="25" xfId="1" applyFont="1" applyFill="1" applyBorder="1" applyAlignment="1">
      <alignment vertical="center" wrapText="1"/>
    </xf>
    <xf numFmtId="164" fontId="6" fillId="0" borderId="2"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17" fillId="0" borderId="0" xfId="1" applyFont="1" applyFill="1" applyBorder="1" applyAlignment="1">
      <alignment vertical="center"/>
    </xf>
    <xf numFmtId="0" fontId="6" fillId="0" borderId="0" xfId="1" applyFont="1" applyBorder="1" applyAlignment="1">
      <alignment vertical="center"/>
    </xf>
    <xf numFmtId="0" fontId="24" fillId="3" borderId="22" xfId="1" applyFont="1" applyFill="1" applyBorder="1" applyAlignment="1">
      <alignment horizontal="center" vertical="center"/>
    </xf>
    <xf numFmtId="0" fontId="25" fillId="3" borderId="0" xfId="1" applyFont="1" applyFill="1" applyBorder="1" applyAlignment="1">
      <alignment vertical="center" wrapText="1"/>
    </xf>
    <xf numFmtId="0" fontId="25" fillId="3" borderId="0" xfId="11" applyNumberFormat="1" applyFont="1" applyFill="1" applyBorder="1" applyAlignment="1">
      <alignment horizontal="center" vertical="center" wrapText="1"/>
    </xf>
    <xf numFmtId="49" fontId="24" fillId="3" borderId="23" xfId="11" applyNumberFormat="1" applyFont="1" applyFill="1" applyBorder="1" applyAlignment="1">
      <alignment horizontal="center" vertical="center" wrapText="1"/>
    </xf>
    <xf numFmtId="0" fontId="24" fillId="0" borderId="0" xfId="1" applyFont="1" applyFill="1" applyBorder="1" applyAlignment="1">
      <alignment vertical="center"/>
    </xf>
    <xf numFmtId="164" fontId="13" fillId="4" borderId="46" xfId="1" applyNumberFormat="1" applyFont="1" applyFill="1" applyBorder="1" applyAlignment="1">
      <alignment horizontal="center" vertical="center"/>
    </xf>
    <xf numFmtId="0" fontId="13" fillId="4" borderId="44" xfId="1" applyFont="1" applyFill="1" applyBorder="1" applyAlignment="1">
      <alignment vertical="center"/>
    </xf>
    <xf numFmtId="0" fontId="13" fillId="4" borderId="45" xfId="1" applyFont="1" applyFill="1" applyBorder="1" applyAlignment="1">
      <alignment vertical="center"/>
    </xf>
    <xf numFmtId="0" fontId="13" fillId="4" borderId="46" xfId="1" applyFont="1" applyFill="1" applyBorder="1" applyAlignment="1">
      <alignment vertical="center"/>
    </xf>
    <xf numFmtId="0" fontId="1" fillId="3" borderId="0" xfId="1" applyNumberFormat="1" applyFont="1" applyFill="1" applyBorder="1" applyAlignment="1">
      <alignment horizontal="center" vertical="center" wrapText="1"/>
    </xf>
    <xf numFmtId="0" fontId="17" fillId="3" borderId="0" xfId="1" applyNumberFormat="1" applyFont="1" applyFill="1" applyBorder="1" applyAlignment="1">
      <alignment horizontal="center" vertical="center" wrapText="1"/>
    </xf>
    <xf numFmtId="0" fontId="17" fillId="3" borderId="0" xfId="1" applyFont="1" applyFill="1" applyBorder="1" applyAlignment="1">
      <alignment horizontal="center" vertical="center" wrapText="1"/>
    </xf>
    <xf numFmtId="49" fontId="17" fillId="0" borderId="26" xfId="1" applyNumberFormat="1" applyFont="1" applyFill="1" applyBorder="1" applyAlignment="1">
      <alignment horizontal="left" vertical="center" wrapText="1"/>
    </xf>
    <xf numFmtId="164" fontId="6" fillId="0" borderId="2"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wrapText="1"/>
    </xf>
    <xf numFmtId="0" fontId="6" fillId="2" borderId="25" xfId="1" applyFont="1" applyFill="1" applyBorder="1" applyAlignment="1">
      <alignment vertical="center" wrapText="1"/>
    </xf>
    <xf numFmtId="164" fontId="6" fillId="0" borderId="2" xfId="1" applyNumberFormat="1" applyFont="1" applyFill="1" applyBorder="1" applyAlignment="1">
      <alignment horizontal="center" vertical="center" wrapText="1"/>
    </xf>
    <xf numFmtId="49" fontId="17" fillId="0" borderId="35" xfId="1" applyNumberFormat="1" applyFont="1" applyFill="1" applyBorder="1" applyAlignment="1">
      <alignment horizontal="left" vertical="center" wrapText="1"/>
    </xf>
    <xf numFmtId="164" fontId="6" fillId="0" borderId="3" xfId="1" applyNumberFormat="1" applyFont="1" applyFill="1" applyBorder="1" applyAlignment="1">
      <alignment horizontal="center" vertical="center"/>
    </xf>
    <xf numFmtId="49" fontId="17" fillId="2" borderId="26" xfId="1" applyNumberFormat="1" applyFont="1" applyFill="1" applyBorder="1" applyAlignment="1">
      <alignment horizontal="left" vertical="center" wrapText="1"/>
    </xf>
    <xf numFmtId="49" fontId="17" fillId="0" borderId="29" xfId="1" applyNumberFormat="1" applyFont="1" applyFill="1" applyBorder="1" applyAlignment="1">
      <alignment horizontal="left" vertical="center" wrapText="1"/>
    </xf>
    <xf numFmtId="164" fontId="6" fillId="0" borderId="2" xfId="1" applyNumberFormat="1" applyFont="1" applyBorder="1" applyAlignment="1">
      <alignment horizontal="center" vertical="center"/>
    </xf>
    <xf numFmtId="165" fontId="6" fillId="0" borderId="3" xfId="1" applyNumberFormat="1" applyFont="1" applyFill="1" applyBorder="1" applyAlignment="1">
      <alignment horizontal="center" vertical="center" wrapText="1"/>
    </xf>
    <xf numFmtId="49" fontId="1" fillId="0" borderId="31" xfId="1" applyNumberFormat="1" applyFont="1" applyFill="1" applyBorder="1" applyAlignment="1">
      <alignment horizontal="left" vertical="center" wrapText="1"/>
    </xf>
    <xf numFmtId="49" fontId="1" fillId="0" borderId="33" xfId="1" applyNumberFormat="1" applyFont="1" applyFill="1" applyBorder="1" applyAlignment="1">
      <alignment horizontal="left" vertical="center" wrapText="1"/>
    </xf>
    <xf numFmtId="164" fontId="19" fillId="0" borderId="0" xfId="1" applyNumberFormat="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9" fillId="3" borderId="18" xfId="1" applyFont="1" applyFill="1" applyBorder="1" applyAlignment="1">
      <alignment horizontal="left" vertical="center"/>
    </xf>
    <xf numFmtId="0" fontId="6" fillId="0" borderId="28" xfId="1" applyFont="1" applyFill="1" applyBorder="1" applyAlignment="1">
      <alignment horizontal="center" vertical="center" wrapText="1"/>
    </xf>
    <xf numFmtId="0" fontId="6" fillId="0" borderId="40" xfId="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5" fontId="6" fillId="0" borderId="6"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0" fontId="17" fillId="0" borderId="2" xfId="0" applyFont="1" applyBorder="1" applyAlignment="1">
      <alignment horizontal="center" vertical="center"/>
    </xf>
    <xf numFmtId="49" fontId="26" fillId="0" borderId="27" xfId="1" applyNumberFormat="1" applyFont="1" applyFill="1" applyBorder="1" applyAlignment="1">
      <alignment horizontal="left" vertical="center" wrapText="1"/>
    </xf>
    <xf numFmtId="49" fontId="26" fillId="0" borderId="26" xfId="1" applyNumberFormat="1" applyFont="1" applyFill="1" applyBorder="1" applyAlignment="1">
      <alignment horizontal="left" vertical="center" wrapText="1"/>
    </xf>
    <xf numFmtId="165" fontId="6" fillId="0" borderId="11" xfId="1" applyNumberFormat="1" applyFont="1" applyFill="1" applyBorder="1" applyAlignment="1">
      <alignment horizontal="center" vertical="center" wrapText="1"/>
    </xf>
    <xf numFmtId="164" fontId="6" fillId="0" borderId="4" xfId="1" applyNumberFormat="1" applyFont="1" applyFill="1" applyBorder="1" applyAlignment="1">
      <alignment horizontal="center" vertical="center"/>
    </xf>
    <xf numFmtId="164" fontId="6" fillId="0" borderId="11" xfId="1" applyNumberFormat="1" applyFont="1" applyFill="1" applyBorder="1" applyAlignment="1">
      <alignment horizontal="center" vertical="center"/>
    </xf>
    <xf numFmtId="165" fontId="6" fillId="2" borderId="5" xfId="1" applyNumberFormat="1" applyFont="1" applyFill="1" applyBorder="1" applyAlignment="1">
      <alignment horizontal="center" vertical="center" wrapText="1"/>
    </xf>
    <xf numFmtId="165" fontId="6" fillId="2" borderId="6" xfId="1" applyNumberFormat="1" applyFont="1" applyFill="1" applyBorder="1" applyAlignment="1">
      <alignment horizontal="center" vertical="center" wrapText="1"/>
    </xf>
    <xf numFmtId="164" fontId="6" fillId="0" borderId="7" xfId="1" applyNumberFormat="1" applyFont="1" applyFill="1" applyBorder="1" applyAlignment="1">
      <alignment horizontal="center" vertical="center"/>
    </xf>
    <xf numFmtId="164" fontId="6" fillId="0" borderId="8" xfId="1" applyNumberFormat="1" applyFont="1" applyFill="1" applyBorder="1" applyAlignment="1">
      <alignment horizontal="center" vertical="center"/>
    </xf>
    <xf numFmtId="49" fontId="17" fillId="0" borderId="36" xfId="1" applyNumberFormat="1" applyFont="1" applyFill="1" applyBorder="1" applyAlignment="1">
      <alignment horizontal="left" vertical="center" wrapText="1"/>
    </xf>
    <xf numFmtId="49" fontId="17" fillId="0" borderId="33" xfId="1" applyNumberFormat="1" applyFont="1" applyFill="1" applyBorder="1" applyAlignment="1">
      <alignment horizontal="left" vertical="center" wrapText="1"/>
    </xf>
    <xf numFmtId="164" fontId="6" fillId="0" borderId="5"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165" fontId="6" fillId="0" borderId="7" xfId="1" applyNumberFormat="1" applyFont="1" applyFill="1" applyBorder="1" applyAlignment="1">
      <alignment horizontal="center" vertical="center" wrapText="1"/>
    </xf>
    <xf numFmtId="165" fontId="6" fillId="0" borderId="8" xfId="1" applyNumberFormat="1" applyFont="1" applyFill="1" applyBorder="1" applyAlignment="1">
      <alignment horizontal="center" vertical="center" wrapText="1"/>
    </xf>
    <xf numFmtId="164" fontId="6" fillId="0" borderId="7" xfId="1" quotePrefix="1" applyNumberFormat="1" applyFont="1" applyFill="1" applyBorder="1" applyAlignment="1">
      <alignment horizontal="center" vertical="center"/>
    </xf>
    <xf numFmtId="164" fontId="6" fillId="0" borderId="8" xfId="1" quotePrefix="1" applyNumberFormat="1" applyFont="1" applyFill="1" applyBorder="1" applyAlignment="1">
      <alignment horizontal="center" vertical="center"/>
    </xf>
    <xf numFmtId="164" fontId="6" fillId="0" borderId="9" xfId="1" applyNumberFormat="1" applyFont="1" applyFill="1" applyBorder="1" applyAlignment="1">
      <alignment horizontal="center" vertical="center"/>
    </xf>
    <xf numFmtId="165" fontId="6" fillId="2" borderId="2" xfId="1" applyNumberFormat="1"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0" fontId="6" fillId="0" borderId="34" xfId="4" applyFont="1" applyFill="1" applyBorder="1" applyAlignment="1">
      <alignment horizontal="left" vertical="center" wrapText="1"/>
    </xf>
    <xf numFmtId="165" fontId="6" fillId="0" borderId="12" xfId="1" applyNumberFormat="1" applyFont="1" applyFill="1" applyBorder="1" applyAlignment="1">
      <alignment horizontal="center" vertical="center" wrapText="1"/>
    </xf>
    <xf numFmtId="165" fontId="6" fillId="0" borderId="13" xfId="1" applyNumberFormat="1" applyFont="1" applyFill="1" applyBorder="1" applyAlignment="1">
      <alignment horizontal="center" vertical="center" wrapText="1"/>
    </xf>
    <xf numFmtId="165" fontId="6" fillId="0" borderId="14" xfId="1" applyNumberFormat="1" applyFont="1" applyFill="1" applyBorder="1" applyAlignment="1">
      <alignment horizontal="center" vertical="center" wrapText="1"/>
    </xf>
    <xf numFmtId="165" fontId="6" fillId="2" borderId="15" xfId="1" applyNumberFormat="1" applyFont="1" applyFill="1" applyBorder="1" applyAlignment="1">
      <alignment horizontal="center" vertical="center" wrapText="1"/>
    </xf>
    <xf numFmtId="165" fontId="6" fillId="2" borderId="16" xfId="1" applyNumberFormat="1" applyFont="1" applyFill="1" applyBorder="1" applyAlignment="1">
      <alignment horizontal="center" vertical="center" wrapText="1"/>
    </xf>
    <xf numFmtId="165" fontId="6" fillId="2" borderId="17" xfId="1" applyNumberFormat="1" applyFont="1" applyFill="1" applyBorder="1" applyAlignment="1">
      <alignment horizontal="center" vertical="center" wrapText="1"/>
    </xf>
    <xf numFmtId="164" fontId="15" fillId="0" borderId="4" xfId="1" applyNumberFormat="1" applyFont="1" applyFill="1" applyBorder="1" applyAlignment="1">
      <alignment horizontal="center" vertical="center"/>
    </xf>
    <xf numFmtId="164" fontId="15" fillId="0" borderId="5" xfId="1" applyNumberFormat="1" applyFont="1" applyFill="1" applyBorder="1" applyAlignment="1">
      <alignment horizontal="center" vertical="center"/>
    </xf>
    <xf numFmtId="164" fontId="15" fillId="0" borderId="6" xfId="1" applyNumberFormat="1" applyFont="1" applyFill="1" applyBorder="1" applyAlignment="1">
      <alignment horizontal="center" vertical="center"/>
    </xf>
    <xf numFmtId="164" fontId="6" fillId="2" borderId="5" xfId="1" applyNumberFormat="1" applyFont="1" applyFill="1" applyBorder="1" applyAlignment="1">
      <alignment horizontal="center" vertical="center"/>
    </xf>
    <xf numFmtId="164" fontId="6" fillId="2" borderId="6" xfId="1" applyNumberFormat="1" applyFont="1" applyFill="1" applyBorder="1" applyAlignment="1">
      <alignment horizontal="center" vertical="center"/>
    </xf>
    <xf numFmtId="49" fontId="17" fillId="0" borderId="35" xfId="1" applyNumberFormat="1" applyFont="1" applyFill="1" applyBorder="1" applyAlignment="1">
      <alignment horizontal="left" vertical="center" wrapText="1"/>
    </xf>
    <xf numFmtId="49" fontId="17" fillId="2" borderId="26" xfId="1" applyNumberFormat="1" applyFont="1" applyFill="1" applyBorder="1" applyAlignment="1">
      <alignment horizontal="left" vertical="center" wrapText="1"/>
    </xf>
    <xf numFmtId="49" fontId="17" fillId="2" borderId="29" xfId="1" applyNumberFormat="1" applyFont="1" applyFill="1" applyBorder="1" applyAlignment="1">
      <alignment horizontal="left" vertical="center" wrapText="1"/>
    </xf>
    <xf numFmtId="49" fontId="17" fillId="2" borderId="39" xfId="1" applyNumberFormat="1" applyFont="1" applyFill="1" applyBorder="1" applyAlignment="1">
      <alignment horizontal="left" vertical="center" wrapText="1"/>
    </xf>
    <xf numFmtId="49" fontId="17" fillId="0" borderId="29" xfId="1" applyNumberFormat="1" applyFont="1" applyFill="1" applyBorder="1" applyAlignment="1">
      <alignment horizontal="left" vertical="center" wrapText="1"/>
    </xf>
    <xf numFmtId="164" fontId="6" fillId="0" borderId="3" xfId="1" applyNumberFormat="1" applyFont="1" applyFill="1" applyBorder="1" applyAlignment="1">
      <alignment horizontal="center" vertical="center" wrapText="1"/>
    </xf>
    <xf numFmtId="164" fontId="6" fillId="0" borderId="2" xfId="1" applyNumberFormat="1" applyFont="1" applyBorder="1" applyAlignment="1">
      <alignment horizontal="center" vertical="center"/>
    </xf>
    <xf numFmtId="164" fontId="6" fillId="2" borderId="2" xfId="1" applyNumberFormat="1" applyFont="1" applyFill="1" applyBorder="1" applyAlignment="1">
      <alignment horizontal="center" vertical="center"/>
    </xf>
    <xf numFmtId="49" fontId="1" fillId="0" borderId="27" xfId="1" applyNumberFormat="1" applyFont="1" applyFill="1" applyBorder="1" applyAlignment="1">
      <alignment horizontal="left" vertical="center" wrapText="1"/>
    </xf>
    <xf numFmtId="49" fontId="1" fillId="0" borderId="26" xfId="1" applyNumberFormat="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32" xfId="1" applyFont="1" applyFill="1" applyBorder="1" applyAlignment="1">
      <alignment horizontal="left" vertical="center" wrapText="1"/>
    </xf>
    <xf numFmtId="164" fontId="5" fillId="0" borderId="20" xfId="1"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wrapText="1"/>
    </xf>
    <xf numFmtId="164" fontId="6" fillId="0" borderId="4"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6"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65" fontId="5" fillId="2" borderId="20" xfId="1" applyNumberFormat="1" applyFont="1" applyFill="1" applyBorder="1" applyAlignment="1">
      <alignment horizontal="center" vertical="center" wrapText="1"/>
    </xf>
    <xf numFmtId="165" fontId="5" fillId="2" borderId="8" xfId="1" applyNumberFormat="1" applyFont="1" applyFill="1" applyBorder="1" applyAlignment="1">
      <alignment horizontal="center" vertical="center" wrapText="1"/>
    </xf>
    <xf numFmtId="0" fontId="10" fillId="4" borderId="18" xfId="1" applyFont="1" applyFill="1" applyBorder="1" applyAlignment="1">
      <alignment horizontal="center" vertical="center"/>
    </xf>
    <xf numFmtId="0" fontId="10" fillId="4" borderId="1" xfId="1" applyFont="1" applyFill="1" applyBorder="1" applyAlignment="1">
      <alignment horizontal="center" vertical="center"/>
    </xf>
    <xf numFmtId="0" fontId="23" fillId="4" borderId="18" xfId="1" applyNumberFormat="1" applyFont="1" applyFill="1" applyBorder="1" applyAlignment="1">
      <alignment horizontal="center" vertical="center" textRotation="90" wrapText="1"/>
    </xf>
    <xf numFmtId="0" fontId="23" fillId="4" borderId="1" xfId="1" applyNumberFormat="1" applyFont="1" applyFill="1" applyBorder="1" applyAlignment="1">
      <alignment horizontal="center" vertical="center" textRotation="90" wrapText="1"/>
    </xf>
    <xf numFmtId="0" fontId="6" fillId="0" borderId="28" xfId="1" applyFont="1" applyFill="1" applyBorder="1" applyAlignment="1">
      <alignment horizontal="left" vertical="center" wrapText="1"/>
    </xf>
    <xf numFmtId="0" fontId="6" fillId="2" borderId="25" xfId="1" applyFont="1" applyFill="1" applyBorder="1" applyAlignment="1">
      <alignment vertical="center" wrapText="1"/>
    </xf>
    <xf numFmtId="0" fontId="23" fillId="4" borderId="1" xfId="1" applyNumberFormat="1" applyFont="1" applyFill="1" applyBorder="1" applyAlignment="1">
      <alignment horizontal="center" vertical="center" wrapText="1"/>
    </xf>
    <xf numFmtId="49" fontId="17" fillId="0" borderId="26" xfId="1" applyNumberFormat="1" applyFont="1" applyFill="1" applyBorder="1" applyAlignment="1">
      <alignment horizontal="left" vertical="center" wrapText="1"/>
    </xf>
    <xf numFmtId="0" fontId="20" fillId="4" borderId="1" xfId="1" applyNumberFormat="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25" xfId="1" applyFont="1" applyFill="1" applyBorder="1" applyAlignment="1">
      <alignment vertical="center" wrapText="1"/>
    </xf>
    <xf numFmtId="0" fontId="13" fillId="4" borderId="18" xfId="11" applyNumberFormat="1" applyFont="1" applyFill="1" applyBorder="1" applyAlignment="1">
      <alignment horizontal="center" vertical="center" wrapText="1"/>
    </xf>
    <xf numFmtId="0" fontId="13" fillId="4" borderId="1" xfId="11" applyNumberFormat="1" applyFont="1" applyFill="1" applyBorder="1" applyAlignment="1">
      <alignment horizontal="center" vertical="center" wrapText="1"/>
    </xf>
    <xf numFmtId="49" fontId="9" fillId="4" borderId="18" xfId="11" applyNumberFormat="1" applyFont="1" applyFill="1" applyBorder="1" applyAlignment="1">
      <alignment horizontal="center" vertical="center" wrapText="1"/>
    </xf>
    <xf numFmtId="49" fontId="9" fillId="4" borderId="1" xfId="11" applyNumberFormat="1" applyFont="1" applyFill="1" applyBorder="1" applyAlignment="1">
      <alignment horizontal="center" vertical="center" wrapText="1"/>
    </xf>
    <xf numFmtId="0" fontId="10" fillId="4" borderId="18" xfId="1" applyNumberFormat="1" applyFont="1" applyFill="1" applyBorder="1" applyAlignment="1">
      <alignment horizontal="center" vertical="center" wrapText="1"/>
    </xf>
    <xf numFmtId="0" fontId="16" fillId="4" borderId="18" xfId="1" applyNumberFormat="1" applyFont="1" applyFill="1" applyBorder="1" applyAlignment="1">
      <alignment horizontal="center" vertical="center" wrapText="1"/>
    </xf>
    <xf numFmtId="49" fontId="17" fillId="0" borderId="24" xfId="1" applyNumberFormat="1" applyFont="1" applyFill="1" applyBorder="1" applyAlignment="1">
      <alignment horizontal="left" vertical="center" wrapText="1"/>
    </xf>
    <xf numFmtId="49" fontId="17" fillId="0" borderId="27" xfId="1" applyNumberFormat="1" applyFont="1" applyFill="1" applyBorder="1" applyAlignment="1">
      <alignment horizontal="left" vertical="center" wrapText="1"/>
    </xf>
    <xf numFmtId="164" fontId="6" fillId="0" borderId="21"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wrapText="1"/>
    </xf>
    <xf numFmtId="49" fontId="28" fillId="0" borderId="35" xfId="1" applyNumberFormat="1" applyFont="1" applyFill="1" applyBorder="1" applyAlignment="1">
      <alignment horizontal="left" vertical="center" wrapText="1"/>
    </xf>
    <xf numFmtId="49" fontId="28" fillId="0" borderId="23" xfId="1" applyNumberFormat="1" applyFont="1" applyFill="1" applyBorder="1" applyAlignment="1">
      <alignment horizontal="left" vertical="center" wrapText="1"/>
    </xf>
    <xf numFmtId="49" fontId="0" fillId="0" borderId="27" xfId="1" applyNumberFormat="1" applyFont="1" applyFill="1" applyBorder="1" applyAlignment="1">
      <alignment horizontal="left" vertical="center" wrapText="1"/>
    </xf>
    <xf numFmtId="49" fontId="0" fillId="0" borderId="43" xfId="1" applyNumberFormat="1" applyFont="1" applyFill="1" applyBorder="1" applyAlignment="1">
      <alignment horizontal="left" vertical="center" wrapText="1"/>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114"/>
  <sheetViews>
    <sheetView tabSelected="1" zoomScale="68" zoomScaleNormal="68" zoomScaleSheetLayoutView="23" zoomScalePageLayoutView="20" workbookViewId="0">
      <pane xSplit="3" ySplit="6" topLeftCell="D86" activePane="bottomRight" state="frozen"/>
      <selection pane="topRight" activeCell="D1" sqref="D1"/>
      <selection pane="bottomLeft" activeCell="A7" sqref="A7"/>
      <selection pane="bottomRight" activeCell="E49" sqref="E49"/>
    </sheetView>
  </sheetViews>
  <sheetFormatPr defaultColWidth="9.23046875" defaultRowHeight="16"/>
  <cols>
    <col min="1" max="1" width="53.4609375" style="12" customWidth="1"/>
    <col min="2" max="2" width="11.3046875" style="5" customWidth="1"/>
    <col min="3" max="3" width="13.23046875" style="2" customWidth="1"/>
    <col min="4" max="4" width="8.69140625" style="1" customWidth="1"/>
    <col min="5" max="5" width="14.4609375" style="1" customWidth="1"/>
    <col min="6" max="6" width="10.23046875" style="1" customWidth="1"/>
    <col min="7" max="7" width="17.53515625" style="4" customWidth="1"/>
    <col min="8" max="8" width="13.4609375" style="1" customWidth="1"/>
    <col min="9" max="9" width="15.84375" style="12" customWidth="1"/>
    <col min="10" max="10" width="12" style="12" customWidth="1"/>
    <col min="11" max="11" width="16.765625" style="12" customWidth="1"/>
    <col min="12" max="12" width="16" style="12" customWidth="1"/>
    <col min="13" max="13" width="28.84375" style="4" hidden="1" customWidth="1"/>
    <col min="14" max="14" width="108.765625" style="51" customWidth="1"/>
    <col min="15" max="15" width="9.23046875" style="1"/>
    <col min="16" max="16" width="19" style="12" customWidth="1"/>
    <col min="17" max="16384" width="9.23046875" style="1"/>
  </cols>
  <sheetData>
    <row r="1" spans="1:16" ht="6.75" customHeight="1">
      <c r="B1" s="14"/>
      <c r="C1" s="14"/>
      <c r="D1" s="12"/>
      <c r="E1" s="12"/>
      <c r="F1" s="12"/>
      <c r="H1" s="12"/>
      <c r="M1" s="12"/>
    </row>
    <row r="2" spans="1:16" s="6" customFormat="1" ht="27" customHeight="1">
      <c r="A2" s="70" t="s">
        <v>35</v>
      </c>
      <c r="B2" s="18"/>
      <c r="C2" s="18"/>
      <c r="D2" s="17"/>
      <c r="E2" s="17"/>
      <c r="F2" s="17"/>
      <c r="G2" s="17"/>
      <c r="H2" s="8"/>
      <c r="I2" s="22"/>
      <c r="J2" s="22"/>
      <c r="K2" s="8"/>
      <c r="L2" s="22"/>
      <c r="M2" s="17"/>
      <c r="N2" s="52"/>
    </row>
    <row r="3" spans="1:16" ht="27" customHeight="1">
      <c r="A3" s="23" t="s">
        <v>193</v>
      </c>
      <c r="B3" s="19"/>
      <c r="C3" s="19"/>
      <c r="D3" s="20"/>
      <c r="E3" s="20"/>
      <c r="F3" s="20"/>
      <c r="G3" s="20"/>
      <c r="H3" s="21"/>
      <c r="I3" s="21"/>
      <c r="J3" s="21"/>
      <c r="K3" s="21"/>
      <c r="L3" s="21"/>
      <c r="M3" s="20"/>
    </row>
    <row r="4" spans="1:16" s="12" customFormat="1" ht="61.5" customHeight="1">
      <c r="A4" s="253" t="s">
        <v>123</v>
      </c>
      <c r="B4" s="255" t="s">
        <v>210</v>
      </c>
      <c r="C4" s="255" t="s">
        <v>40</v>
      </c>
      <c r="D4" s="269" t="s">
        <v>30</v>
      </c>
      <c r="E4" s="269"/>
      <c r="F4" s="269"/>
      <c r="G4" s="268" t="s">
        <v>152</v>
      </c>
      <c r="H4" s="268"/>
      <c r="I4" s="268" t="s">
        <v>153</v>
      </c>
      <c r="J4" s="268"/>
      <c r="K4" s="268" t="s">
        <v>41</v>
      </c>
      <c r="L4" s="268"/>
      <c r="M4" s="264" t="s">
        <v>0</v>
      </c>
      <c r="N4" s="266" t="s">
        <v>29</v>
      </c>
    </row>
    <row r="5" spans="1:16" s="157" customFormat="1" ht="29.25" customHeight="1" thickBot="1">
      <c r="A5" s="254"/>
      <c r="B5" s="256"/>
      <c r="C5" s="256"/>
      <c r="D5" s="259" t="s">
        <v>26</v>
      </c>
      <c r="E5" s="259"/>
      <c r="F5" s="259"/>
      <c r="G5" s="261" t="s">
        <v>37</v>
      </c>
      <c r="H5" s="261"/>
      <c r="I5" s="261" t="s">
        <v>37</v>
      </c>
      <c r="J5" s="261"/>
      <c r="K5" s="261" t="s">
        <v>37</v>
      </c>
      <c r="L5" s="261"/>
      <c r="M5" s="265"/>
      <c r="N5" s="267"/>
    </row>
    <row r="6" spans="1:16" s="163" customFormat="1" ht="21" customHeight="1">
      <c r="A6" s="159"/>
      <c r="B6" s="160"/>
      <c r="C6" s="160"/>
      <c r="D6" s="168" t="s">
        <v>18</v>
      </c>
      <c r="E6" s="168" t="s">
        <v>13</v>
      </c>
      <c r="F6" s="168" t="s">
        <v>14</v>
      </c>
      <c r="G6" s="168" t="s">
        <v>13</v>
      </c>
      <c r="H6" s="169" t="s">
        <v>14</v>
      </c>
      <c r="I6" s="169" t="s">
        <v>13</v>
      </c>
      <c r="J6" s="170" t="s">
        <v>14</v>
      </c>
      <c r="K6" s="169" t="s">
        <v>13</v>
      </c>
      <c r="L6" s="169" t="s">
        <v>14</v>
      </c>
      <c r="M6" s="161"/>
      <c r="N6" s="162"/>
    </row>
    <row r="7" spans="1:16" s="7" customFormat="1" ht="39.75" customHeight="1">
      <c r="A7" s="165" t="s">
        <v>8</v>
      </c>
      <c r="B7" s="166"/>
      <c r="C7" s="166"/>
      <c r="D7" s="166"/>
      <c r="E7" s="166"/>
      <c r="F7" s="167"/>
      <c r="G7" s="164">
        <f t="shared" ref="G7:L7" si="0">SUM(G8:G34)</f>
        <v>678850</v>
      </c>
      <c r="H7" s="84">
        <f t="shared" si="0"/>
        <v>2000</v>
      </c>
      <c r="I7" s="84">
        <f t="shared" si="0"/>
        <v>756313.63864999986</v>
      </c>
      <c r="J7" s="84">
        <f t="shared" si="0"/>
        <v>5.1328399999999998</v>
      </c>
      <c r="K7" s="84">
        <f t="shared" si="0"/>
        <v>3982562.2028200002</v>
      </c>
      <c r="L7" s="84">
        <f t="shared" si="0"/>
        <v>44630.198059999995</v>
      </c>
      <c r="M7" s="85"/>
      <c r="N7" s="86"/>
      <c r="P7" s="184"/>
    </row>
    <row r="8" spans="1:16" ht="72" customHeight="1">
      <c r="A8" s="262" t="s">
        <v>27</v>
      </c>
      <c r="B8" s="192">
        <v>41431</v>
      </c>
      <c r="C8" s="192">
        <v>43830</v>
      </c>
      <c r="D8" s="128" t="s">
        <v>16</v>
      </c>
      <c r="E8" s="128">
        <v>24500</v>
      </c>
      <c r="F8" s="207"/>
      <c r="G8" s="207"/>
      <c r="H8" s="207"/>
      <c r="I8" s="207"/>
      <c r="J8" s="227"/>
      <c r="K8" s="207">
        <f>164985.95612+I8</f>
        <v>164985.95611999999</v>
      </c>
      <c r="L8" s="207"/>
      <c r="M8" s="249" t="s">
        <v>34</v>
      </c>
      <c r="N8" s="270" t="s">
        <v>198</v>
      </c>
      <c r="P8" s="184"/>
    </row>
    <row r="9" spans="1:16" ht="58" customHeight="1">
      <c r="A9" s="263"/>
      <c r="B9" s="246"/>
      <c r="C9" s="246"/>
      <c r="D9" s="121" t="s">
        <v>17</v>
      </c>
      <c r="E9" s="121">
        <v>38000</v>
      </c>
      <c r="F9" s="193"/>
      <c r="G9" s="193"/>
      <c r="H9" s="193"/>
      <c r="I9" s="193"/>
      <c r="J9" s="235"/>
      <c r="K9" s="193"/>
      <c r="L9" s="193"/>
      <c r="M9" s="250"/>
      <c r="N9" s="260"/>
    </row>
    <row r="10" spans="1:16" s="9" customFormat="1" ht="50.25" customHeight="1">
      <c r="A10" s="258" t="s">
        <v>54</v>
      </c>
      <c r="B10" s="246">
        <v>42410</v>
      </c>
      <c r="C10" s="246">
        <v>45291</v>
      </c>
      <c r="D10" s="121" t="s">
        <v>17</v>
      </c>
      <c r="E10" s="121">
        <v>140000</v>
      </c>
      <c r="F10" s="121"/>
      <c r="G10" s="193">
        <v>67800</v>
      </c>
      <c r="H10" s="193"/>
      <c r="I10" s="193">
        <v>54672.004560000001</v>
      </c>
      <c r="J10" s="235"/>
      <c r="K10" s="193">
        <f>311226.765+I10</f>
        <v>365898.76956000004</v>
      </c>
      <c r="L10" s="193"/>
      <c r="M10" s="151"/>
      <c r="N10" s="271" t="s">
        <v>199</v>
      </c>
    </row>
    <row r="11" spans="1:16" s="9" customFormat="1" ht="60" customHeight="1">
      <c r="A11" s="258"/>
      <c r="B11" s="246"/>
      <c r="C11" s="246"/>
      <c r="D11" s="121" t="s">
        <v>23</v>
      </c>
      <c r="E11" s="121">
        <v>49450</v>
      </c>
      <c r="F11" s="121"/>
      <c r="G11" s="193"/>
      <c r="H11" s="193"/>
      <c r="I11" s="193"/>
      <c r="J11" s="235"/>
      <c r="K11" s="193"/>
      <c r="L11" s="193"/>
      <c r="M11" s="151"/>
      <c r="N11" s="260"/>
    </row>
    <row r="12" spans="1:16" ht="65.150000000000006" customHeight="1">
      <c r="A12" s="258" t="s">
        <v>21</v>
      </c>
      <c r="B12" s="246">
        <v>40115</v>
      </c>
      <c r="C12" s="246">
        <v>43737</v>
      </c>
      <c r="D12" s="121" t="s">
        <v>16</v>
      </c>
      <c r="E12" s="121">
        <v>75892</v>
      </c>
      <c r="F12" s="193"/>
      <c r="G12" s="193"/>
      <c r="H12" s="193"/>
      <c r="I12" s="193"/>
      <c r="J12" s="193"/>
      <c r="K12" s="193">
        <f>393464.06647+I12</f>
        <v>393464.06647000002</v>
      </c>
      <c r="L12" s="193"/>
      <c r="M12" s="250" t="s">
        <v>34</v>
      </c>
      <c r="N12" s="271" t="s">
        <v>200</v>
      </c>
    </row>
    <row r="13" spans="1:16" ht="69" customHeight="1">
      <c r="A13" s="258"/>
      <c r="B13" s="246"/>
      <c r="C13" s="246"/>
      <c r="D13" s="121" t="s">
        <v>20</v>
      </c>
      <c r="E13" s="121">
        <v>140000</v>
      </c>
      <c r="F13" s="193"/>
      <c r="G13" s="193"/>
      <c r="H13" s="193"/>
      <c r="I13" s="193"/>
      <c r="J13" s="193"/>
      <c r="K13" s="193"/>
      <c r="L13" s="193"/>
      <c r="M13" s="250"/>
      <c r="N13" s="260"/>
    </row>
    <row r="14" spans="1:16" s="12" customFormat="1" ht="42.75" customHeight="1">
      <c r="A14" s="143" t="s">
        <v>184</v>
      </c>
      <c r="B14" s="190" t="s">
        <v>185</v>
      </c>
      <c r="C14" s="190" t="s">
        <v>186</v>
      </c>
      <c r="D14" s="198" t="s">
        <v>23</v>
      </c>
      <c r="E14" s="198">
        <v>108190</v>
      </c>
      <c r="F14" s="128"/>
      <c r="G14" s="128">
        <v>7500</v>
      </c>
      <c r="H14" s="128"/>
      <c r="I14" s="128">
        <f>11040.87601+604.55573</f>
        <v>11645.43174</v>
      </c>
      <c r="J14" s="128"/>
      <c r="K14" s="128">
        <f>I14</f>
        <v>11645.43174</v>
      </c>
      <c r="L14" s="128"/>
      <c r="M14" s="151"/>
      <c r="N14" s="87" t="s">
        <v>201</v>
      </c>
    </row>
    <row r="15" spans="1:16" s="12" customFormat="1" ht="60.75" customHeight="1">
      <c r="A15" s="143" t="s">
        <v>103</v>
      </c>
      <c r="B15" s="192"/>
      <c r="C15" s="192"/>
      <c r="D15" s="206"/>
      <c r="E15" s="206"/>
      <c r="F15" s="128"/>
      <c r="G15" s="128">
        <v>6000</v>
      </c>
      <c r="H15" s="128"/>
      <c r="I15" s="128">
        <v>10232.27254</v>
      </c>
      <c r="J15" s="128"/>
      <c r="K15" s="128">
        <f>I15</f>
        <v>10232.27254</v>
      </c>
      <c r="L15" s="128"/>
      <c r="M15" s="151"/>
      <c r="N15" s="87" t="s">
        <v>202</v>
      </c>
    </row>
    <row r="16" spans="1:16" ht="42.75" customHeight="1">
      <c r="A16" s="257" t="s">
        <v>65</v>
      </c>
      <c r="B16" s="190">
        <v>42898</v>
      </c>
      <c r="C16" s="190">
        <v>45107</v>
      </c>
      <c r="D16" s="207"/>
      <c r="E16" s="207"/>
      <c r="F16" s="198"/>
      <c r="G16" s="198">
        <v>60000</v>
      </c>
      <c r="H16" s="198"/>
      <c r="I16" s="198">
        <f>57272.96797-604.55573</f>
        <v>56668.412239999998</v>
      </c>
      <c r="J16" s="198"/>
      <c r="K16" s="198">
        <f>179652.38391+I16</f>
        <v>236320.79615000001</v>
      </c>
      <c r="L16" s="198"/>
      <c r="M16" s="151"/>
      <c r="N16" s="271" t="s">
        <v>211</v>
      </c>
    </row>
    <row r="17" spans="1:17" s="12" customFormat="1" ht="69" customHeight="1">
      <c r="A17" s="238"/>
      <c r="B17" s="192"/>
      <c r="C17" s="192"/>
      <c r="D17" s="121" t="s">
        <v>17</v>
      </c>
      <c r="E17" s="121">
        <v>114000</v>
      </c>
      <c r="F17" s="207"/>
      <c r="G17" s="207"/>
      <c r="H17" s="207"/>
      <c r="I17" s="207"/>
      <c r="J17" s="207"/>
      <c r="K17" s="207"/>
      <c r="L17" s="207"/>
      <c r="M17" s="151"/>
      <c r="N17" s="260"/>
    </row>
    <row r="18" spans="1:17" ht="89.25" customHeight="1">
      <c r="A18" s="174" t="s">
        <v>24</v>
      </c>
      <c r="B18" s="147">
        <v>40163</v>
      </c>
      <c r="C18" s="132">
        <v>45101</v>
      </c>
      <c r="D18" s="121" t="s">
        <v>22</v>
      </c>
      <c r="E18" s="121">
        <v>22132000</v>
      </c>
      <c r="F18" s="121"/>
      <c r="G18" s="121"/>
      <c r="H18" s="121"/>
      <c r="I18" s="121"/>
      <c r="J18" s="121"/>
      <c r="K18" s="121">
        <f>400633.70469+I18</f>
        <v>400633.70468999998</v>
      </c>
      <c r="L18" s="121"/>
      <c r="M18" s="151" t="s">
        <v>34</v>
      </c>
      <c r="N18" s="139" t="s">
        <v>133</v>
      </c>
    </row>
    <row r="19" spans="1:17" ht="165" customHeight="1">
      <c r="A19" s="153" t="s">
        <v>46</v>
      </c>
      <c r="B19" s="147">
        <v>41040</v>
      </c>
      <c r="C19" s="147">
        <v>43797</v>
      </c>
      <c r="D19" s="121" t="s">
        <v>23</v>
      </c>
      <c r="E19" s="121">
        <v>200000</v>
      </c>
      <c r="F19" s="121">
        <v>20000</v>
      </c>
      <c r="G19" s="121">
        <v>25000</v>
      </c>
      <c r="H19" s="121">
        <v>2000</v>
      </c>
      <c r="I19" s="121">
        <v>4471.7179599999999</v>
      </c>
      <c r="J19" s="121">
        <f>5132.84/1000</f>
        <v>5.1328399999999998</v>
      </c>
      <c r="K19" s="121">
        <f>419449.66675+I19</f>
        <v>423921.38470999995</v>
      </c>
      <c r="L19" s="121">
        <f>44625.06522+J19</f>
        <v>44630.198059999995</v>
      </c>
      <c r="M19" s="151" t="s">
        <v>34</v>
      </c>
      <c r="N19" s="139" t="s">
        <v>176</v>
      </c>
    </row>
    <row r="20" spans="1:17" s="12" customFormat="1" ht="24.75" customHeight="1">
      <c r="A20" s="240" t="s">
        <v>82</v>
      </c>
      <c r="B20" s="147" t="s">
        <v>80</v>
      </c>
      <c r="C20" s="147" t="s">
        <v>81</v>
      </c>
      <c r="D20" s="121" t="s">
        <v>23</v>
      </c>
      <c r="E20" s="121">
        <v>16900</v>
      </c>
      <c r="F20" s="121"/>
      <c r="G20" s="247">
        <v>50850</v>
      </c>
      <c r="H20" s="198"/>
      <c r="I20" s="198">
        <v>65719.275999999998</v>
      </c>
      <c r="J20" s="198"/>
      <c r="K20" s="198">
        <f>78751.05525+I20</f>
        <v>144470.33124999999</v>
      </c>
      <c r="L20" s="198"/>
      <c r="M20" s="151"/>
      <c r="N20" s="271" t="s">
        <v>212</v>
      </c>
    </row>
    <row r="21" spans="1:17" s="12" customFormat="1" ht="24.75" customHeight="1">
      <c r="A21" s="241"/>
      <c r="B21" s="147">
        <v>42713</v>
      </c>
      <c r="C21" s="147">
        <v>44539</v>
      </c>
      <c r="D21" s="121" t="s">
        <v>23</v>
      </c>
      <c r="E21" s="198">
        <v>250000</v>
      </c>
      <c r="F21" s="121"/>
      <c r="G21" s="248"/>
      <c r="H21" s="207"/>
      <c r="I21" s="207"/>
      <c r="J21" s="207"/>
      <c r="K21" s="207"/>
      <c r="L21" s="207"/>
      <c r="M21" s="151"/>
      <c r="N21" s="260"/>
    </row>
    <row r="22" spans="1:17" s="12" customFormat="1" ht="41.25" customHeight="1">
      <c r="A22" s="153" t="s">
        <v>106</v>
      </c>
      <c r="B22" s="190">
        <v>42713</v>
      </c>
      <c r="C22" s="190">
        <v>44539</v>
      </c>
      <c r="D22" s="198" t="s">
        <v>23</v>
      </c>
      <c r="E22" s="206"/>
      <c r="F22" s="121"/>
      <c r="G22" s="47">
        <v>144000</v>
      </c>
      <c r="H22" s="121"/>
      <c r="I22" s="121">
        <v>142736.07469000001</v>
      </c>
      <c r="J22" s="121"/>
      <c r="K22" s="121">
        <f>371538.51216+I22</f>
        <v>514274.58684999996</v>
      </c>
      <c r="L22" s="121"/>
      <c r="M22" s="151"/>
      <c r="N22" s="87" t="s">
        <v>101</v>
      </c>
    </row>
    <row r="23" spans="1:17" s="12" customFormat="1" ht="42.5" customHeight="1">
      <c r="A23" s="153" t="s">
        <v>76</v>
      </c>
      <c r="B23" s="192"/>
      <c r="C23" s="192"/>
      <c r="D23" s="207"/>
      <c r="E23" s="207"/>
      <c r="F23" s="121"/>
      <c r="G23" s="141">
        <v>66300</v>
      </c>
      <c r="H23" s="121"/>
      <c r="I23" s="121">
        <v>72385.545689999999</v>
      </c>
      <c r="J23" s="121"/>
      <c r="K23" s="121">
        <f>73127.72591+I23</f>
        <v>145513.27159999998</v>
      </c>
      <c r="L23" s="121"/>
      <c r="M23" s="151"/>
      <c r="N23" s="87" t="s">
        <v>102</v>
      </c>
    </row>
    <row r="24" spans="1:17" s="12" customFormat="1" ht="1.5" hidden="1" customHeight="1">
      <c r="A24" s="88" t="s">
        <v>77</v>
      </c>
      <c r="B24" s="155"/>
      <c r="C24" s="155"/>
      <c r="D24" s="154"/>
      <c r="E24" s="154"/>
      <c r="F24" s="154"/>
      <c r="G24" s="154"/>
      <c r="H24" s="154"/>
      <c r="I24" s="154"/>
      <c r="J24" s="154"/>
      <c r="K24" s="154">
        <f>I24</f>
        <v>0</v>
      </c>
      <c r="L24" s="154"/>
      <c r="M24" s="156"/>
      <c r="N24" s="87" t="s">
        <v>148</v>
      </c>
    </row>
    <row r="25" spans="1:17" s="12" customFormat="1" ht="5" hidden="1" customHeight="1">
      <c r="A25" s="88" t="s">
        <v>78</v>
      </c>
      <c r="B25" s="155"/>
      <c r="C25" s="155"/>
      <c r="D25" s="154"/>
      <c r="E25" s="154"/>
      <c r="F25" s="154"/>
      <c r="G25" s="154"/>
      <c r="H25" s="154"/>
      <c r="I25" s="154"/>
      <c r="J25" s="154"/>
      <c r="K25" s="154">
        <f>I25</f>
        <v>0</v>
      </c>
      <c r="L25" s="154"/>
      <c r="M25" s="156"/>
      <c r="N25" s="87" t="s">
        <v>149</v>
      </c>
    </row>
    <row r="26" spans="1:17" s="12" customFormat="1" ht="54" customHeight="1">
      <c r="A26" s="153" t="s">
        <v>75</v>
      </c>
      <c r="B26" s="147">
        <v>43378</v>
      </c>
      <c r="C26" s="147">
        <v>45657.123206018521</v>
      </c>
      <c r="D26" s="121" t="s">
        <v>23</v>
      </c>
      <c r="E26" s="121">
        <v>255297</v>
      </c>
      <c r="F26" s="121"/>
      <c r="G26" s="141">
        <v>92000</v>
      </c>
      <c r="H26" s="121"/>
      <c r="I26" s="121">
        <v>120817.74348999999</v>
      </c>
      <c r="J26" s="121"/>
      <c r="K26" s="121">
        <f>215373.35945+I26</f>
        <v>336191.10294000001</v>
      </c>
      <c r="L26" s="121"/>
      <c r="M26" s="151"/>
      <c r="N26" s="87" t="s">
        <v>208</v>
      </c>
    </row>
    <row r="27" spans="1:17" s="12" customFormat="1" ht="21" customHeight="1">
      <c r="A27" s="240" t="s">
        <v>105</v>
      </c>
      <c r="B27" s="147">
        <v>43704</v>
      </c>
      <c r="C27" s="190">
        <v>45291</v>
      </c>
      <c r="D27" s="198" t="s">
        <v>23</v>
      </c>
      <c r="E27" s="121">
        <v>370236</v>
      </c>
      <c r="F27" s="121"/>
      <c r="G27" s="247">
        <v>59000</v>
      </c>
      <c r="H27" s="198"/>
      <c r="I27" s="198">
        <v>124934.58824</v>
      </c>
      <c r="J27" s="198"/>
      <c r="K27" s="198">
        <f>226896.1501+I27</f>
        <v>351830.73833999998</v>
      </c>
      <c r="L27" s="198"/>
      <c r="M27" s="151"/>
      <c r="N27" s="236" t="s">
        <v>135</v>
      </c>
    </row>
    <row r="28" spans="1:17" s="12" customFormat="1" ht="26.25" customHeight="1">
      <c r="A28" s="241"/>
      <c r="B28" s="147">
        <v>43749</v>
      </c>
      <c r="C28" s="192"/>
      <c r="D28" s="207"/>
      <c r="E28" s="121">
        <v>53400</v>
      </c>
      <c r="F28" s="121"/>
      <c r="G28" s="248"/>
      <c r="H28" s="207"/>
      <c r="I28" s="207"/>
      <c r="J28" s="207"/>
      <c r="K28" s="207"/>
      <c r="L28" s="207"/>
      <c r="M28" s="151"/>
      <c r="N28" s="237"/>
    </row>
    <row r="29" spans="1:17" s="12" customFormat="1" ht="46.5" customHeight="1">
      <c r="A29" s="153" t="s">
        <v>107</v>
      </c>
      <c r="B29" s="147">
        <v>43796</v>
      </c>
      <c r="C29" s="147">
        <v>44926</v>
      </c>
      <c r="D29" s="121" t="s">
        <v>23</v>
      </c>
      <c r="E29" s="121">
        <v>255100</v>
      </c>
      <c r="F29" s="121"/>
      <c r="G29" s="141">
        <v>33900</v>
      </c>
      <c r="H29" s="121"/>
      <c r="I29" s="121">
        <v>29258.22925</v>
      </c>
      <c r="J29" s="121"/>
      <c r="K29" s="121">
        <f>109818.81142+I29</f>
        <v>139077.04066999999</v>
      </c>
      <c r="L29" s="121"/>
      <c r="M29" s="151"/>
      <c r="N29" s="122" t="s">
        <v>150</v>
      </c>
    </row>
    <row r="30" spans="1:17" s="3" customFormat="1" ht="125" customHeight="1">
      <c r="A30" s="153" t="s">
        <v>38</v>
      </c>
      <c r="B30" s="147">
        <v>41829</v>
      </c>
      <c r="C30" s="147">
        <v>44561</v>
      </c>
      <c r="D30" s="121" t="s">
        <v>17</v>
      </c>
      <c r="E30" s="121">
        <v>75000</v>
      </c>
      <c r="F30" s="121"/>
      <c r="G30" s="141">
        <v>12000</v>
      </c>
      <c r="H30" s="121"/>
      <c r="I30" s="121">
        <v>17478.296880000002</v>
      </c>
      <c r="J30" s="121"/>
      <c r="K30" s="121">
        <f>167289.82752+I30</f>
        <v>184768.1244</v>
      </c>
      <c r="L30" s="121"/>
      <c r="M30" s="151" t="s">
        <v>34</v>
      </c>
      <c r="N30" s="139" t="s">
        <v>203</v>
      </c>
    </row>
    <row r="31" spans="1:17" s="3" customFormat="1" ht="149" customHeight="1">
      <c r="A31" s="88" t="s">
        <v>51</v>
      </c>
      <c r="B31" s="147">
        <v>42457</v>
      </c>
      <c r="C31" s="147">
        <v>44561</v>
      </c>
      <c r="D31" s="121" t="s">
        <v>17</v>
      </c>
      <c r="E31" s="121">
        <v>40000</v>
      </c>
      <c r="F31" s="121"/>
      <c r="G31" s="141">
        <v>25000</v>
      </c>
      <c r="H31" s="121"/>
      <c r="I31" s="121">
        <v>23900</v>
      </c>
      <c r="J31" s="121"/>
      <c r="K31" s="121">
        <f>48955.19968+I31</f>
        <v>72855.199679999991</v>
      </c>
      <c r="L31" s="121"/>
      <c r="M31" s="151"/>
      <c r="N31" s="179" t="s">
        <v>204</v>
      </c>
    </row>
    <row r="32" spans="1:17" s="3" customFormat="1" ht="80.5" customHeight="1">
      <c r="A32" s="88" t="s">
        <v>73</v>
      </c>
      <c r="B32" s="173" t="s">
        <v>74</v>
      </c>
      <c r="C32" s="173" t="s">
        <v>194</v>
      </c>
      <c r="D32" s="172" t="s">
        <v>17</v>
      </c>
      <c r="E32" s="172">
        <v>80000</v>
      </c>
      <c r="F32" s="172"/>
      <c r="G32" s="180">
        <v>13000</v>
      </c>
      <c r="H32" s="172"/>
      <c r="I32" s="172">
        <v>7731.5361199999998</v>
      </c>
      <c r="J32" s="172"/>
      <c r="K32" s="172">
        <f>55723.10775+I32</f>
        <v>63454.64387</v>
      </c>
      <c r="L32" s="172"/>
      <c r="M32" s="175"/>
      <c r="N32" s="179" t="s">
        <v>205</v>
      </c>
      <c r="O32" s="272"/>
      <c r="P32" s="273"/>
      <c r="Q32" s="29"/>
    </row>
    <row r="33" spans="1:16" s="3" customFormat="1" ht="63" customHeight="1">
      <c r="A33" s="88" t="s">
        <v>52</v>
      </c>
      <c r="B33" s="147">
        <v>42752</v>
      </c>
      <c r="C33" s="147">
        <v>46022</v>
      </c>
      <c r="D33" s="121" t="s">
        <v>55</v>
      </c>
      <c r="E33" s="121">
        <v>8000</v>
      </c>
      <c r="F33" s="121"/>
      <c r="G33" s="141">
        <v>14000</v>
      </c>
      <c r="H33" s="121"/>
      <c r="I33" s="121">
        <v>8443.2288800000006</v>
      </c>
      <c r="J33" s="121"/>
      <c r="K33" s="121">
        <f>7278.2502+I33</f>
        <v>15721.479080000001</v>
      </c>
      <c r="L33" s="121"/>
      <c r="M33" s="151"/>
      <c r="N33" s="179" t="s">
        <v>213</v>
      </c>
    </row>
    <row r="34" spans="1:16" s="3" customFormat="1" ht="47.25" customHeight="1">
      <c r="A34" s="89" t="s">
        <v>53</v>
      </c>
      <c r="B34" s="118">
        <v>42734</v>
      </c>
      <c r="C34" s="118">
        <v>43830</v>
      </c>
      <c r="D34" s="124" t="s">
        <v>23</v>
      </c>
      <c r="E34" s="124">
        <v>6000</v>
      </c>
      <c r="F34" s="124"/>
      <c r="G34" s="148">
        <v>2500</v>
      </c>
      <c r="H34" s="124"/>
      <c r="I34" s="124">
        <v>5219.2803700000004</v>
      </c>
      <c r="J34" s="124"/>
      <c r="K34" s="124">
        <f>2084.02179+I34</f>
        <v>7303.3021600000002</v>
      </c>
      <c r="L34" s="124"/>
      <c r="M34" s="33"/>
      <c r="N34" s="87" t="s">
        <v>171</v>
      </c>
    </row>
    <row r="35" spans="1:16" s="7" customFormat="1" ht="38.25" customHeight="1">
      <c r="A35" s="187" t="s">
        <v>7</v>
      </c>
      <c r="B35" s="187"/>
      <c r="C35" s="187"/>
      <c r="D35" s="187"/>
      <c r="E35" s="187"/>
      <c r="F35" s="187"/>
      <c r="G35" s="73">
        <f>G36+G38+G39+G40+G42+G43+G44+G45+G51+G52+G46+G49+G50+G47+G48</f>
        <v>160400</v>
      </c>
      <c r="H35" s="73">
        <f t="shared" ref="H35" si="1">H36+H38+H39+H40+H42+H43+H44+H45+H51+H52+H46+H49+H50+H47</f>
        <v>11550</v>
      </c>
      <c r="I35" s="73">
        <f>I36+I38+I39+I40+I42+I43+I44+I45+I51+I52+I46+I49+I50+I47+I48+I53</f>
        <v>138087.8486</v>
      </c>
      <c r="J35" s="73">
        <f t="shared" ref="J35:L35" si="2">J36+J38+J39+J40+J42+J43+J44+J45+J51+J52+J46+J49+J50+J47+J48+J53</f>
        <v>8935.9036599999999</v>
      </c>
      <c r="K35" s="73">
        <f t="shared" si="2"/>
        <v>1050052.1352700002</v>
      </c>
      <c r="L35" s="73">
        <f t="shared" si="2"/>
        <v>35715.409080000005</v>
      </c>
      <c r="M35" s="76"/>
      <c r="N35" s="77"/>
      <c r="P35" s="10"/>
    </row>
    <row r="36" spans="1:16" ht="30.75" customHeight="1">
      <c r="A36" s="242" t="s">
        <v>108</v>
      </c>
      <c r="B36" s="83">
        <v>41869</v>
      </c>
      <c r="C36" s="251" t="s">
        <v>130</v>
      </c>
      <c r="D36" s="146" t="s">
        <v>17</v>
      </c>
      <c r="E36" s="146">
        <v>30000</v>
      </c>
      <c r="F36" s="146">
        <v>5000</v>
      </c>
      <c r="G36" s="244">
        <v>21800</v>
      </c>
      <c r="H36" s="244">
        <v>600</v>
      </c>
      <c r="I36" s="244">
        <v>14160.89726</v>
      </c>
      <c r="J36" s="244">
        <v>1396.38822</v>
      </c>
      <c r="K36" s="244">
        <f>60422.44419+I36</f>
        <v>74583.341450000007</v>
      </c>
      <c r="L36" s="244">
        <f>9268.64618+J36</f>
        <v>10665.0344</v>
      </c>
      <c r="M36" s="58"/>
      <c r="N36" s="182" t="s">
        <v>89</v>
      </c>
    </row>
    <row r="37" spans="1:16" s="12" customFormat="1" ht="26.25" customHeight="1">
      <c r="A37" s="243"/>
      <c r="B37" s="57" t="s">
        <v>154</v>
      </c>
      <c r="C37" s="252"/>
      <c r="D37" s="146" t="s">
        <v>23</v>
      </c>
      <c r="E37" s="146">
        <v>37100</v>
      </c>
      <c r="F37" s="146"/>
      <c r="G37" s="245"/>
      <c r="H37" s="245"/>
      <c r="I37" s="245"/>
      <c r="J37" s="245"/>
      <c r="K37" s="245"/>
      <c r="L37" s="245"/>
      <c r="M37" s="58"/>
      <c r="N37" s="183"/>
    </row>
    <row r="38" spans="1:16" ht="53.5" customHeight="1">
      <c r="A38" s="90" t="s">
        <v>140</v>
      </c>
      <c r="B38" s="57">
        <v>40227</v>
      </c>
      <c r="C38" s="57">
        <v>44926</v>
      </c>
      <c r="D38" s="59" t="s">
        <v>23</v>
      </c>
      <c r="E38" s="59">
        <v>3000</v>
      </c>
      <c r="F38" s="59">
        <v>4000</v>
      </c>
      <c r="G38" s="59">
        <v>2000</v>
      </c>
      <c r="H38" s="59">
        <v>6800</v>
      </c>
      <c r="I38" s="59">
        <v>1148.9323300000001</v>
      </c>
      <c r="J38" s="59">
        <v>2836.7071099999998</v>
      </c>
      <c r="K38" s="59">
        <f>7762.57654+I38</f>
        <v>8911.5088699999997</v>
      </c>
      <c r="L38" s="59">
        <f>3971.97589+J38</f>
        <v>6808.683</v>
      </c>
      <c r="M38" s="60" t="s">
        <v>31</v>
      </c>
      <c r="N38" s="91" t="s">
        <v>181</v>
      </c>
    </row>
    <row r="39" spans="1:16" ht="81.75" customHeight="1">
      <c r="A39" s="90" t="s">
        <v>195</v>
      </c>
      <c r="B39" s="133">
        <v>41621</v>
      </c>
      <c r="C39" s="25">
        <v>44926</v>
      </c>
      <c r="D39" s="129" t="s">
        <v>23</v>
      </c>
      <c r="E39" s="129">
        <v>20000</v>
      </c>
      <c r="F39" s="129">
        <v>2000</v>
      </c>
      <c r="G39" s="50">
        <v>100</v>
      </c>
      <c r="H39" s="50">
        <v>1950</v>
      </c>
      <c r="I39" s="129">
        <v>76.666210000000007</v>
      </c>
      <c r="J39" s="129">
        <v>1618.3914600000001</v>
      </c>
      <c r="K39" s="26">
        <f>8393.24581+I39</f>
        <v>8469.9120199999998</v>
      </c>
      <c r="L39" s="129">
        <f>8507.11102+J39</f>
        <v>10125.502480000001</v>
      </c>
      <c r="M39" s="140" t="s">
        <v>39</v>
      </c>
      <c r="N39" s="176" t="s">
        <v>214</v>
      </c>
    </row>
    <row r="40" spans="1:16" ht="80.25" customHeight="1">
      <c r="A40" s="216" t="s">
        <v>15</v>
      </c>
      <c r="B40" s="215">
        <v>40350</v>
      </c>
      <c r="C40" s="215">
        <v>44196</v>
      </c>
      <c r="D40" s="129" t="s">
        <v>16</v>
      </c>
      <c r="E40" s="129">
        <f>57986+10639</f>
        <v>68625</v>
      </c>
      <c r="F40" s="208"/>
      <c r="G40" s="202"/>
      <c r="H40" s="208"/>
      <c r="I40" s="208">
        <v>169.81299999999999</v>
      </c>
      <c r="J40" s="208"/>
      <c r="K40" s="211">
        <f>450343.64915+I40</f>
        <v>450513.46215000004</v>
      </c>
      <c r="L40" s="208"/>
      <c r="M40" s="233" t="s">
        <v>32</v>
      </c>
      <c r="N40" s="228" t="s">
        <v>215</v>
      </c>
    </row>
    <row r="41" spans="1:16" ht="46.5" customHeight="1">
      <c r="A41" s="216"/>
      <c r="B41" s="215"/>
      <c r="C41" s="215"/>
      <c r="D41" s="129" t="s">
        <v>17</v>
      </c>
      <c r="E41" s="129">
        <f>48886+73000+20000</f>
        <v>141886</v>
      </c>
      <c r="F41" s="208"/>
      <c r="G41" s="203"/>
      <c r="H41" s="208"/>
      <c r="I41" s="208"/>
      <c r="J41" s="208"/>
      <c r="K41" s="212"/>
      <c r="L41" s="208"/>
      <c r="M41" s="233"/>
      <c r="N41" s="228"/>
    </row>
    <row r="42" spans="1:16" ht="46.5" customHeight="1">
      <c r="A42" s="90" t="s">
        <v>44</v>
      </c>
      <c r="B42" s="133">
        <v>42223</v>
      </c>
      <c r="C42" s="133">
        <v>44926</v>
      </c>
      <c r="D42" s="129" t="s">
        <v>17</v>
      </c>
      <c r="E42" s="129">
        <v>60000</v>
      </c>
      <c r="F42" s="129"/>
      <c r="G42" s="129">
        <v>20700</v>
      </c>
      <c r="H42" s="129"/>
      <c r="I42" s="129">
        <v>18209.601409999999</v>
      </c>
      <c r="J42" s="129"/>
      <c r="K42" s="129">
        <f>55919.17957+I42</f>
        <v>74128.780979999996</v>
      </c>
      <c r="L42" s="129"/>
      <c r="M42" s="140"/>
      <c r="N42" s="136" t="s">
        <v>90</v>
      </c>
    </row>
    <row r="43" spans="1:16" s="9" customFormat="1" ht="36.75" customHeight="1">
      <c r="A43" s="92" t="s">
        <v>45</v>
      </c>
      <c r="B43" s="57">
        <v>42136</v>
      </c>
      <c r="C43" s="57">
        <v>44693</v>
      </c>
      <c r="D43" s="59" t="s">
        <v>23</v>
      </c>
      <c r="E43" s="59">
        <v>4300</v>
      </c>
      <c r="F43" s="59">
        <v>1843</v>
      </c>
      <c r="G43" s="59">
        <v>600</v>
      </c>
      <c r="H43" s="59"/>
      <c r="I43" s="59">
        <v>567.57240999999999</v>
      </c>
      <c r="J43" s="59"/>
      <c r="K43" s="59">
        <f>967.42234+I43</f>
        <v>1534.9947499999998</v>
      </c>
      <c r="L43" s="59"/>
      <c r="M43" s="60"/>
      <c r="N43" s="176" t="s">
        <v>216</v>
      </c>
    </row>
    <row r="44" spans="1:16" s="3" customFormat="1" ht="48.75" customHeight="1">
      <c r="A44" s="90" t="s">
        <v>84</v>
      </c>
      <c r="B44" s="133">
        <v>43285</v>
      </c>
      <c r="C44" s="25" t="s">
        <v>131</v>
      </c>
      <c r="D44" s="129" t="s">
        <v>23</v>
      </c>
      <c r="E44" s="129">
        <v>2830</v>
      </c>
      <c r="F44" s="129">
        <v>1870</v>
      </c>
      <c r="G44" s="129">
        <v>1000</v>
      </c>
      <c r="H44" s="129">
        <v>900</v>
      </c>
      <c r="I44" s="129">
        <v>4174.8028299999996</v>
      </c>
      <c r="J44" s="129">
        <v>1744.8928100000001</v>
      </c>
      <c r="K44" s="129">
        <f>2824.88467+I44</f>
        <v>6999.6875</v>
      </c>
      <c r="L44" s="129">
        <f>3219.08197+J44</f>
        <v>4963.9747800000005</v>
      </c>
      <c r="M44" s="140" t="s">
        <v>33</v>
      </c>
      <c r="N44" s="136" t="s">
        <v>161</v>
      </c>
    </row>
    <row r="45" spans="1:16" s="3" customFormat="1" ht="53.25" customHeight="1">
      <c r="A45" s="90" t="s">
        <v>49</v>
      </c>
      <c r="B45" s="133">
        <v>42411</v>
      </c>
      <c r="C45" s="181">
        <v>44439</v>
      </c>
      <c r="D45" s="129" t="s">
        <v>23</v>
      </c>
      <c r="E45" s="129">
        <v>100000</v>
      </c>
      <c r="F45" s="129"/>
      <c r="G45" s="129">
        <v>23500</v>
      </c>
      <c r="H45" s="129"/>
      <c r="I45" s="129">
        <v>19199.781579999999</v>
      </c>
      <c r="J45" s="129"/>
      <c r="K45" s="129">
        <f>235951.59098+I45</f>
        <v>255151.37256000002</v>
      </c>
      <c r="L45" s="129"/>
      <c r="M45" s="140"/>
      <c r="N45" s="176" t="s">
        <v>217</v>
      </c>
    </row>
    <row r="46" spans="1:16" s="3" customFormat="1" ht="33" customHeight="1">
      <c r="A46" s="145" t="s">
        <v>109</v>
      </c>
      <c r="B46" s="209">
        <v>43808</v>
      </c>
      <c r="C46" s="209">
        <v>45291</v>
      </c>
      <c r="D46" s="202" t="s">
        <v>23</v>
      </c>
      <c r="E46" s="202">
        <v>13550</v>
      </c>
      <c r="F46" s="202"/>
      <c r="G46" s="129">
        <v>1600</v>
      </c>
      <c r="H46" s="129"/>
      <c r="I46" s="129">
        <v>568.87147000000004</v>
      </c>
      <c r="J46" s="129"/>
      <c r="K46" s="129">
        <f>733.79052+I46</f>
        <v>1302.6619900000001</v>
      </c>
      <c r="L46" s="126"/>
      <c r="M46" s="140"/>
      <c r="N46" s="204" t="s">
        <v>218</v>
      </c>
    </row>
    <row r="47" spans="1:16" s="3" customFormat="1" ht="25.5" customHeight="1">
      <c r="A47" s="93" t="s">
        <v>187</v>
      </c>
      <c r="B47" s="210"/>
      <c r="C47" s="210"/>
      <c r="D47" s="203"/>
      <c r="E47" s="203"/>
      <c r="F47" s="203"/>
      <c r="G47" s="129"/>
      <c r="H47" s="129"/>
      <c r="I47" s="129">
        <v>2585.74773</v>
      </c>
      <c r="J47" s="129"/>
      <c r="K47" s="129">
        <f>I47</f>
        <v>2585.74773</v>
      </c>
      <c r="L47" s="127"/>
      <c r="M47" s="140"/>
      <c r="N47" s="205"/>
    </row>
    <row r="48" spans="1:16" s="3" customFormat="1" ht="52.5" customHeight="1">
      <c r="A48" s="145" t="s">
        <v>141</v>
      </c>
      <c r="B48" s="133" t="s">
        <v>188</v>
      </c>
      <c r="C48" s="133" t="s">
        <v>189</v>
      </c>
      <c r="D48" s="129" t="s">
        <v>23</v>
      </c>
      <c r="E48" s="127">
        <v>101000</v>
      </c>
      <c r="F48" s="56"/>
      <c r="G48" s="129">
        <v>31400</v>
      </c>
      <c r="H48" s="129"/>
      <c r="I48" s="129">
        <v>28347.219109999998</v>
      </c>
      <c r="J48" s="129"/>
      <c r="K48" s="129">
        <f>5871.65395+I48</f>
        <v>34218.873059999998</v>
      </c>
      <c r="L48" s="129"/>
      <c r="M48" s="140"/>
      <c r="N48" s="94" t="s">
        <v>219</v>
      </c>
    </row>
    <row r="49" spans="1:15" s="3" customFormat="1" ht="65.5" customHeight="1">
      <c r="A49" s="90" t="s">
        <v>110</v>
      </c>
      <c r="B49" s="133">
        <v>43798</v>
      </c>
      <c r="C49" s="133">
        <v>45280</v>
      </c>
      <c r="D49" s="129" t="s">
        <v>23</v>
      </c>
      <c r="E49" s="177">
        <v>19000</v>
      </c>
      <c r="F49" s="129"/>
      <c r="G49" s="129">
        <v>25200</v>
      </c>
      <c r="H49" s="129"/>
      <c r="I49" s="129">
        <v>29621.45364</v>
      </c>
      <c r="J49" s="129"/>
      <c r="K49" s="129">
        <f>43715.90635+I49</f>
        <v>73337.359989999997</v>
      </c>
      <c r="L49" s="129"/>
      <c r="M49" s="140"/>
      <c r="N49" s="176" t="s">
        <v>220</v>
      </c>
    </row>
    <row r="50" spans="1:15" s="3" customFormat="1" ht="70" customHeight="1">
      <c r="A50" s="90" t="s">
        <v>111</v>
      </c>
      <c r="B50" s="133">
        <v>44025</v>
      </c>
      <c r="C50" s="133">
        <v>45291</v>
      </c>
      <c r="D50" s="129" t="s">
        <v>23</v>
      </c>
      <c r="E50" s="129">
        <v>5000</v>
      </c>
      <c r="F50" s="129"/>
      <c r="G50" s="129">
        <v>3900</v>
      </c>
      <c r="H50" s="129"/>
      <c r="I50" s="129">
        <v>6682.4020300000002</v>
      </c>
      <c r="J50" s="129"/>
      <c r="K50" s="129">
        <f>6474.36913+I50</f>
        <v>13156.77116</v>
      </c>
      <c r="L50" s="129"/>
      <c r="M50" s="140"/>
      <c r="N50" s="274" t="s">
        <v>221</v>
      </c>
    </row>
    <row r="51" spans="1:15" s="3" customFormat="1" ht="41.25" customHeight="1">
      <c r="A51" s="90" t="s">
        <v>85</v>
      </c>
      <c r="B51" s="133">
        <v>43035</v>
      </c>
      <c r="C51" s="133">
        <v>44925</v>
      </c>
      <c r="D51" s="129" t="s">
        <v>23</v>
      </c>
      <c r="E51" s="129">
        <v>30000</v>
      </c>
      <c r="F51" s="129">
        <v>2000</v>
      </c>
      <c r="G51" s="50">
        <v>3600</v>
      </c>
      <c r="H51" s="50">
        <v>1300</v>
      </c>
      <c r="I51" s="129">
        <v>394.53978000000001</v>
      </c>
      <c r="J51" s="129">
        <v>1339.52406</v>
      </c>
      <c r="K51" s="129">
        <f>1400.08206+I51</f>
        <v>1794.62184</v>
      </c>
      <c r="L51" s="129">
        <f>1812.69036+J51</f>
        <v>3152.2144200000002</v>
      </c>
      <c r="M51" s="140"/>
      <c r="N51" s="95" t="s">
        <v>100</v>
      </c>
    </row>
    <row r="52" spans="1:15" s="3" customFormat="1" ht="79.5" customHeight="1">
      <c r="A52" s="90" t="s">
        <v>86</v>
      </c>
      <c r="B52" s="133" t="s">
        <v>91</v>
      </c>
      <c r="C52" s="181">
        <v>45474</v>
      </c>
      <c r="D52" s="129" t="s">
        <v>23</v>
      </c>
      <c r="E52" s="129">
        <v>18030</v>
      </c>
      <c r="F52" s="129"/>
      <c r="G52" s="50">
        <v>25000</v>
      </c>
      <c r="H52" s="50"/>
      <c r="I52" s="129">
        <v>6793.2296200000001</v>
      </c>
      <c r="J52" s="129"/>
      <c r="K52" s="129">
        <f>495.57+I52</f>
        <v>7288.7996199999998</v>
      </c>
      <c r="L52" s="129"/>
      <c r="M52" s="140"/>
      <c r="N52" s="95" t="s">
        <v>182</v>
      </c>
    </row>
    <row r="53" spans="1:15" s="3" customFormat="1" ht="101.25" customHeight="1">
      <c r="A53" s="96" t="s">
        <v>190</v>
      </c>
      <c r="B53" s="130">
        <v>41884</v>
      </c>
      <c r="C53" s="130">
        <v>44561</v>
      </c>
      <c r="D53" s="126" t="s">
        <v>23</v>
      </c>
      <c r="E53" s="126">
        <v>13200</v>
      </c>
      <c r="F53" s="126"/>
      <c r="G53" s="81"/>
      <c r="H53" s="81"/>
      <c r="I53" s="126">
        <v>5386.31819</v>
      </c>
      <c r="J53" s="126"/>
      <c r="K53" s="126">
        <f>30687.92141+I53</f>
        <v>36074.239600000001</v>
      </c>
      <c r="L53" s="126"/>
      <c r="M53" s="82" t="s">
        <v>33</v>
      </c>
      <c r="N53" s="275" t="s">
        <v>222</v>
      </c>
    </row>
    <row r="54" spans="1:15" s="7" customFormat="1" ht="37.15" customHeight="1">
      <c r="A54" s="187" t="s">
        <v>9</v>
      </c>
      <c r="B54" s="187"/>
      <c r="C54" s="187"/>
      <c r="D54" s="187"/>
      <c r="E54" s="187"/>
      <c r="F54" s="187"/>
      <c r="G54" s="73">
        <f>G56+G61+G63+G64+G62+G60+G65+G55+G58+G59</f>
        <v>89200</v>
      </c>
      <c r="H54" s="73">
        <f t="shared" ref="H54:L54" si="3">H56+H61+H63+H64+H62+H60+H65+H55+H58+H59</f>
        <v>18830</v>
      </c>
      <c r="I54" s="73">
        <f t="shared" si="3"/>
        <v>91579.027830000006</v>
      </c>
      <c r="J54" s="73">
        <f t="shared" si="3"/>
        <v>1694.7961600000001</v>
      </c>
      <c r="K54" s="73">
        <f t="shared" si="3"/>
        <v>1163309.4704100001</v>
      </c>
      <c r="L54" s="73">
        <f t="shared" si="3"/>
        <v>124986.13060000002</v>
      </c>
      <c r="M54" s="76"/>
      <c r="N54" s="77"/>
      <c r="O54" s="11"/>
    </row>
    <row r="55" spans="1:15" s="12" customFormat="1" ht="38.25" customHeight="1">
      <c r="A55" s="97" t="s">
        <v>137</v>
      </c>
      <c r="B55" s="120" t="s">
        <v>93</v>
      </c>
      <c r="C55" s="120" t="s">
        <v>142</v>
      </c>
      <c r="D55" s="128" t="s">
        <v>23</v>
      </c>
      <c r="E55" s="128">
        <v>17740</v>
      </c>
      <c r="F55" s="128"/>
      <c r="G55" s="128">
        <v>4780</v>
      </c>
      <c r="H55" s="128"/>
      <c r="I55" s="128">
        <v>3095.04216</v>
      </c>
      <c r="J55" s="128"/>
      <c r="K55" s="128">
        <f>I55</f>
        <v>3095.04216</v>
      </c>
      <c r="L55" s="128"/>
      <c r="M55" s="150"/>
      <c r="N55" s="98" t="s">
        <v>143</v>
      </c>
    </row>
    <row r="56" spans="1:15" ht="163" customHeight="1">
      <c r="A56" s="186" t="s">
        <v>1</v>
      </c>
      <c r="B56" s="246">
        <v>40673</v>
      </c>
      <c r="C56" s="214">
        <v>45380</v>
      </c>
      <c r="D56" s="121" t="s">
        <v>16</v>
      </c>
      <c r="E56" s="121">
        <f>51343+25047+64205+23005</f>
        <v>163600</v>
      </c>
      <c r="F56" s="193"/>
      <c r="G56" s="193">
        <v>68000</v>
      </c>
      <c r="H56" s="193"/>
      <c r="I56" s="193">
        <v>63041.907299999999</v>
      </c>
      <c r="J56" s="235"/>
      <c r="K56" s="234">
        <f>817043.21718+I56</f>
        <v>880085.12448</v>
      </c>
      <c r="L56" s="193"/>
      <c r="M56" s="151" t="s">
        <v>3</v>
      </c>
      <c r="N56" s="195" t="s">
        <v>177</v>
      </c>
    </row>
    <row r="57" spans="1:15" ht="227.25" customHeight="1">
      <c r="A57" s="186"/>
      <c r="B57" s="246"/>
      <c r="C57" s="214"/>
      <c r="D57" s="121" t="s">
        <v>17</v>
      </c>
      <c r="E57" s="121">
        <f>108000+43000+99000</f>
        <v>250000</v>
      </c>
      <c r="F57" s="193"/>
      <c r="G57" s="193"/>
      <c r="H57" s="193"/>
      <c r="I57" s="193"/>
      <c r="J57" s="235"/>
      <c r="K57" s="234"/>
      <c r="L57" s="193"/>
      <c r="M57" s="151"/>
      <c r="N57" s="196"/>
    </row>
    <row r="58" spans="1:15" s="12" customFormat="1" ht="78" customHeight="1">
      <c r="A58" s="99" t="s">
        <v>138</v>
      </c>
      <c r="B58" s="45" t="s">
        <v>144</v>
      </c>
      <c r="C58" s="46" t="s">
        <v>145</v>
      </c>
      <c r="D58" s="47" t="s">
        <v>23</v>
      </c>
      <c r="E58" s="47">
        <v>130000</v>
      </c>
      <c r="F58" s="121"/>
      <c r="G58" s="121">
        <v>3450</v>
      </c>
      <c r="H58" s="121">
        <v>3250</v>
      </c>
      <c r="I58" s="121"/>
      <c r="J58" s="142"/>
      <c r="K58" s="121"/>
      <c r="L58" s="121"/>
      <c r="M58" s="151"/>
      <c r="N58" s="100" t="s">
        <v>180</v>
      </c>
    </row>
    <row r="59" spans="1:15" s="12" customFormat="1" ht="60.75" customHeight="1">
      <c r="A59" s="99" t="s">
        <v>139</v>
      </c>
      <c r="B59" s="45" t="s">
        <v>146</v>
      </c>
      <c r="C59" s="46" t="s">
        <v>147</v>
      </c>
      <c r="D59" s="47" t="s">
        <v>23</v>
      </c>
      <c r="E59" s="47">
        <v>58000</v>
      </c>
      <c r="F59" s="121"/>
      <c r="G59" s="121">
        <v>1200</v>
      </c>
      <c r="H59" s="121"/>
      <c r="I59" s="121"/>
      <c r="J59" s="142"/>
      <c r="K59" s="121"/>
      <c r="L59" s="121"/>
      <c r="M59" s="151"/>
      <c r="N59" s="123" t="s">
        <v>151</v>
      </c>
    </row>
    <row r="60" spans="1:15" s="12" customFormat="1" ht="65.25" customHeight="1">
      <c r="A60" s="99" t="s">
        <v>79</v>
      </c>
      <c r="B60" s="48" t="s">
        <v>92</v>
      </c>
      <c r="C60" s="48">
        <v>45649</v>
      </c>
      <c r="D60" s="49" t="s">
        <v>23</v>
      </c>
      <c r="E60" s="44">
        <v>100</v>
      </c>
      <c r="F60" s="121"/>
      <c r="G60" s="141">
        <v>1770</v>
      </c>
      <c r="H60" s="141">
        <v>1780</v>
      </c>
      <c r="I60" s="121">
        <v>188.005</v>
      </c>
      <c r="J60" s="142"/>
      <c r="K60" s="121">
        <f>35.07802+I60</f>
        <v>223.08302</v>
      </c>
      <c r="L60" s="121"/>
      <c r="M60" s="151"/>
      <c r="N60" s="171" t="s">
        <v>223</v>
      </c>
    </row>
    <row r="61" spans="1:15" ht="134.25" customHeight="1">
      <c r="A61" s="117" t="s">
        <v>56</v>
      </c>
      <c r="B61" s="147">
        <v>40773</v>
      </c>
      <c r="C61" s="147">
        <v>44561</v>
      </c>
      <c r="D61" s="142" t="s">
        <v>23</v>
      </c>
      <c r="E61" s="142">
        <f>2988.339+4000+20000</f>
        <v>26988.339</v>
      </c>
      <c r="F61" s="142">
        <f>4500+6728.536+9000+4000+7000</f>
        <v>31228.536</v>
      </c>
      <c r="G61" s="121"/>
      <c r="H61" s="121"/>
      <c r="I61" s="142">
        <v>4488.7607900000003</v>
      </c>
      <c r="J61" s="142">
        <v>139.92895999999999</v>
      </c>
      <c r="K61" s="121">
        <f>75035.11228+I61</f>
        <v>79523.873070000001</v>
      </c>
      <c r="L61" s="142">
        <f>65489.76346+J61</f>
        <v>65629.692420000007</v>
      </c>
      <c r="M61" s="121" t="s">
        <v>4</v>
      </c>
      <c r="N61" s="139" t="s">
        <v>226</v>
      </c>
    </row>
    <row r="62" spans="1:15" ht="38.25" customHeight="1">
      <c r="A62" s="117" t="s">
        <v>64</v>
      </c>
      <c r="B62" s="147">
        <v>42360</v>
      </c>
      <c r="C62" s="147">
        <v>44012</v>
      </c>
      <c r="D62" s="121" t="s">
        <v>23</v>
      </c>
      <c r="E62" s="121">
        <v>30000</v>
      </c>
      <c r="F62" s="121">
        <v>2000</v>
      </c>
      <c r="G62" s="121">
        <v>10000</v>
      </c>
      <c r="H62" s="121">
        <v>1500</v>
      </c>
      <c r="I62" s="121">
        <v>15076.316430000001</v>
      </c>
      <c r="J62" s="121"/>
      <c r="K62" s="121">
        <f>83054.31252+I62</f>
        <v>98130.628950000013</v>
      </c>
      <c r="L62" s="121">
        <f>5731.69474+J62</f>
        <v>5731.6947399999999</v>
      </c>
      <c r="M62" s="121"/>
      <c r="N62" s="139" t="s">
        <v>224</v>
      </c>
    </row>
    <row r="63" spans="1:15" ht="40.5" customHeight="1">
      <c r="A63" s="117" t="s">
        <v>196</v>
      </c>
      <c r="B63" s="147">
        <v>41506</v>
      </c>
      <c r="C63" s="132">
        <v>43332</v>
      </c>
      <c r="D63" s="121" t="s">
        <v>23</v>
      </c>
      <c r="E63" s="121">
        <v>40000</v>
      </c>
      <c r="F63" s="121">
        <v>8000</v>
      </c>
      <c r="G63" s="121"/>
      <c r="H63" s="121"/>
      <c r="I63" s="121"/>
      <c r="J63" s="142">
        <v>46.535559999999997</v>
      </c>
      <c r="K63" s="121">
        <f>94567.08773+I63</f>
        <v>94567.087729999999</v>
      </c>
      <c r="L63" s="121">
        <f>19362.96834+J63</f>
        <v>19409.5039</v>
      </c>
      <c r="M63" s="151" t="s">
        <v>32</v>
      </c>
      <c r="N63" s="139" t="s">
        <v>94</v>
      </c>
    </row>
    <row r="64" spans="1:15" ht="44" customHeight="1">
      <c r="A64" s="117" t="s">
        <v>28</v>
      </c>
      <c r="B64" s="147">
        <v>41480</v>
      </c>
      <c r="C64" s="132" t="s">
        <v>132</v>
      </c>
      <c r="D64" s="121" t="s">
        <v>17</v>
      </c>
      <c r="E64" s="121"/>
      <c r="F64" s="121">
        <v>10052.155000000001</v>
      </c>
      <c r="G64" s="121"/>
      <c r="H64" s="121"/>
      <c r="I64" s="121"/>
      <c r="J64" s="142"/>
      <c r="K64" s="121"/>
      <c r="L64" s="121">
        <f>26883.57658+J64</f>
        <v>26883.576580000001</v>
      </c>
      <c r="M64" s="151" t="s">
        <v>32</v>
      </c>
      <c r="N64" s="139" t="s">
        <v>162</v>
      </c>
    </row>
    <row r="65" spans="1:14" s="12" customFormat="1" ht="73.5" customHeight="1">
      <c r="A65" s="152" t="s">
        <v>126</v>
      </c>
      <c r="B65" s="118">
        <v>43336</v>
      </c>
      <c r="C65" s="118">
        <v>45656</v>
      </c>
      <c r="D65" s="124" t="s">
        <v>23</v>
      </c>
      <c r="E65" s="124">
        <v>40000</v>
      </c>
      <c r="F65" s="124">
        <f>3000+6965</f>
        <v>9965</v>
      </c>
      <c r="G65" s="124"/>
      <c r="H65" s="124">
        <v>12300</v>
      </c>
      <c r="I65" s="124">
        <v>5688.9961499999999</v>
      </c>
      <c r="J65" s="72">
        <v>1508.3316400000001</v>
      </c>
      <c r="K65" s="124">
        <f>1995.63485+I65</f>
        <v>7684.6309999999994</v>
      </c>
      <c r="L65" s="124">
        <f>5823.33132+J65</f>
        <v>7331.6629600000006</v>
      </c>
      <c r="M65" s="33"/>
      <c r="N65" s="276" t="s">
        <v>225</v>
      </c>
    </row>
    <row r="66" spans="1:14" s="7" customFormat="1" ht="30" customHeight="1">
      <c r="A66" s="187" t="s">
        <v>6</v>
      </c>
      <c r="B66" s="187"/>
      <c r="C66" s="187"/>
      <c r="D66" s="187"/>
      <c r="E66" s="187"/>
      <c r="F66" s="187"/>
      <c r="G66" s="73">
        <f>G68+G69+G70+G71+G76+G72+G73+G74+G75+G77+G80+G78+G67</f>
        <v>73300</v>
      </c>
      <c r="H66" s="73">
        <f>H68+H69+H70+H71+H76+H72+H73+H74+H75+H77+H80+H78+H67</f>
        <v>3200</v>
      </c>
      <c r="I66" s="73">
        <f>I67+I68+I69+I70+I71+I72+I73+I74+I75+I76+I77+I80+I79</f>
        <v>117086.97179999998</v>
      </c>
      <c r="J66" s="73">
        <f>J68+J69+J70+J71+J76+J72+J73+J74+J75+J77+J80+J78+J67</f>
        <v>7157.6053200000006</v>
      </c>
      <c r="K66" s="73">
        <f>K68+K69+K70+K71+K76+K72+K73+K74+K75+K77+K80+K78+K67</f>
        <v>468835.37100500002</v>
      </c>
      <c r="L66" s="73">
        <f>L68+L69+L70+L71+L76+L72+L73+L74+L75+L77+L80+L78+L67</f>
        <v>28108.285399999997</v>
      </c>
      <c r="M66" s="76"/>
      <c r="N66" s="77"/>
    </row>
    <row r="67" spans="1:14" s="7" customFormat="1" ht="57" customHeight="1">
      <c r="A67" s="78" t="s">
        <v>158</v>
      </c>
      <c r="B67" s="79" t="s">
        <v>155</v>
      </c>
      <c r="C67" s="79" t="s">
        <v>156</v>
      </c>
      <c r="D67" s="80" t="s">
        <v>23</v>
      </c>
      <c r="E67" s="80"/>
      <c r="F67" s="80">
        <v>8440</v>
      </c>
      <c r="G67" s="128"/>
      <c r="H67" s="128"/>
      <c r="I67" s="128"/>
      <c r="J67" s="128">
        <v>3663.6563999999998</v>
      </c>
      <c r="K67" s="128"/>
      <c r="L67" s="128">
        <f>J67</f>
        <v>3663.6563999999998</v>
      </c>
      <c r="M67" s="150"/>
      <c r="N67" s="135" t="s">
        <v>175</v>
      </c>
    </row>
    <row r="68" spans="1:14" ht="90.75" customHeight="1">
      <c r="A68" s="117" t="s">
        <v>157</v>
      </c>
      <c r="B68" s="147">
        <v>43105</v>
      </c>
      <c r="C68" s="147" t="s">
        <v>83</v>
      </c>
      <c r="D68" s="121" t="s">
        <v>23</v>
      </c>
      <c r="E68" s="121">
        <v>28000</v>
      </c>
      <c r="F68" s="121">
        <v>7000</v>
      </c>
      <c r="G68" s="121">
        <v>30000</v>
      </c>
      <c r="H68" s="121">
        <v>2000</v>
      </c>
      <c r="I68" s="121">
        <v>60881.504099999998</v>
      </c>
      <c r="J68" s="142"/>
      <c r="K68" s="121">
        <f>59331.06719+I68</f>
        <v>120212.57128999999</v>
      </c>
      <c r="L68" s="34"/>
      <c r="M68" s="151" t="s">
        <v>5</v>
      </c>
      <c r="N68" s="138" t="s">
        <v>115</v>
      </c>
    </row>
    <row r="69" spans="1:14" ht="32.25" customHeight="1">
      <c r="A69" s="101" t="s">
        <v>67</v>
      </c>
      <c r="B69" s="190">
        <v>41572</v>
      </c>
      <c r="C69" s="190">
        <v>44560</v>
      </c>
      <c r="D69" s="198" t="s">
        <v>23</v>
      </c>
      <c r="E69" s="198">
        <f>25200+35000</f>
        <v>60200</v>
      </c>
      <c r="F69" s="121">
        <v>8000</v>
      </c>
      <c r="G69" s="121">
        <v>1800</v>
      </c>
      <c r="H69" s="121"/>
      <c r="I69" s="121">
        <v>4385.0966200000003</v>
      </c>
      <c r="J69" s="121"/>
      <c r="K69" s="121">
        <f>94809.776625+I69</f>
        <v>99194.873244999995</v>
      </c>
      <c r="L69" s="121">
        <v>20950.680079999998</v>
      </c>
      <c r="M69" s="151" t="s">
        <v>25</v>
      </c>
      <c r="N69" s="232" t="s">
        <v>117</v>
      </c>
    </row>
    <row r="70" spans="1:14" s="9" customFormat="1" ht="36.75" customHeight="1">
      <c r="A70" s="101" t="s">
        <v>68</v>
      </c>
      <c r="B70" s="191"/>
      <c r="C70" s="191"/>
      <c r="D70" s="206"/>
      <c r="E70" s="206"/>
      <c r="F70" s="121"/>
      <c r="G70" s="121">
        <v>3800</v>
      </c>
      <c r="H70" s="121"/>
      <c r="I70" s="121">
        <v>1216.4000699999999</v>
      </c>
      <c r="J70" s="121"/>
      <c r="K70" s="121">
        <f>54623.99415+I70</f>
        <v>55840.394220000002</v>
      </c>
      <c r="L70" s="121"/>
      <c r="M70" s="151"/>
      <c r="N70" s="232"/>
    </row>
    <row r="71" spans="1:14" ht="29.25" customHeight="1">
      <c r="A71" s="117" t="s">
        <v>60</v>
      </c>
      <c r="B71" s="192"/>
      <c r="C71" s="192"/>
      <c r="D71" s="207"/>
      <c r="E71" s="207"/>
      <c r="F71" s="121"/>
      <c r="G71" s="121"/>
      <c r="H71" s="121"/>
      <c r="I71" s="121"/>
      <c r="J71" s="142"/>
      <c r="K71" s="121">
        <f>5120.67471+I71</f>
        <v>5120.6747100000002</v>
      </c>
      <c r="L71" s="121"/>
      <c r="M71" s="151"/>
      <c r="N71" s="138" t="s">
        <v>116</v>
      </c>
    </row>
    <row r="72" spans="1:14" ht="29.25" customHeight="1">
      <c r="A72" s="117" t="s">
        <v>50</v>
      </c>
      <c r="B72" s="190">
        <v>41885</v>
      </c>
      <c r="C72" s="190">
        <v>44378</v>
      </c>
      <c r="D72" s="121" t="s">
        <v>17</v>
      </c>
      <c r="E72" s="193">
        <v>60000</v>
      </c>
      <c r="F72" s="121"/>
      <c r="G72" s="121">
        <v>6000</v>
      </c>
      <c r="H72" s="121"/>
      <c r="I72" s="121">
        <v>26687.095280000001</v>
      </c>
      <c r="J72" s="142"/>
      <c r="K72" s="121">
        <f>122176.4497+I72</f>
        <v>148863.54498000001</v>
      </c>
      <c r="L72" s="121"/>
      <c r="M72" s="151"/>
      <c r="N72" s="139" t="s">
        <v>96</v>
      </c>
    </row>
    <row r="73" spans="1:14" ht="42.75" customHeight="1">
      <c r="A73" s="117" t="s">
        <v>61</v>
      </c>
      <c r="B73" s="192"/>
      <c r="C73" s="192"/>
      <c r="D73" s="121" t="s">
        <v>17</v>
      </c>
      <c r="E73" s="194"/>
      <c r="F73" s="121"/>
      <c r="G73" s="121"/>
      <c r="H73" s="121"/>
      <c r="I73" s="121"/>
      <c r="J73" s="142"/>
      <c r="K73" s="121">
        <f>1935.69256+I73</f>
        <v>1935.69256</v>
      </c>
      <c r="L73" s="121"/>
      <c r="M73" s="151"/>
      <c r="N73" s="139" t="s">
        <v>118</v>
      </c>
    </row>
    <row r="74" spans="1:14" ht="133.5" customHeight="1">
      <c r="A74" s="117" t="s">
        <v>104</v>
      </c>
      <c r="B74" s="147"/>
      <c r="C74" s="147"/>
      <c r="D74" s="121" t="s">
        <v>23</v>
      </c>
      <c r="E74" s="121"/>
      <c r="F74" s="121"/>
      <c r="G74" s="121">
        <v>6000</v>
      </c>
      <c r="H74" s="121"/>
      <c r="I74" s="121"/>
      <c r="J74" s="142"/>
      <c r="K74" s="34">
        <f>I74</f>
        <v>0</v>
      </c>
      <c r="L74" s="34"/>
      <c r="M74" s="151"/>
      <c r="N74" s="138" t="s">
        <v>71</v>
      </c>
    </row>
    <row r="75" spans="1:14" ht="59.25" customHeight="1">
      <c r="A75" s="117" t="s">
        <v>62</v>
      </c>
      <c r="B75" s="147"/>
      <c r="C75" s="147"/>
      <c r="D75" s="121"/>
      <c r="E75" s="121"/>
      <c r="F75" s="121"/>
      <c r="G75" s="121">
        <v>8000</v>
      </c>
      <c r="H75" s="121"/>
      <c r="I75" s="121">
        <v>8824.5084599999991</v>
      </c>
      <c r="J75" s="142"/>
      <c r="K75" s="121">
        <f>20373.43777+I75</f>
        <v>29197.946230000001</v>
      </c>
      <c r="L75" s="34"/>
      <c r="M75" s="151"/>
      <c r="N75" s="139" t="s">
        <v>66</v>
      </c>
    </row>
    <row r="76" spans="1:14" ht="77.25" customHeight="1">
      <c r="A76" s="117" t="s">
        <v>59</v>
      </c>
      <c r="B76" s="217">
        <v>42838</v>
      </c>
      <c r="C76" s="220">
        <v>44742</v>
      </c>
      <c r="D76" s="223" t="s">
        <v>23</v>
      </c>
      <c r="E76" s="198">
        <v>125000</v>
      </c>
      <c r="F76" s="121">
        <v>9900</v>
      </c>
      <c r="G76" s="121">
        <v>6700</v>
      </c>
      <c r="H76" s="121">
        <v>1200</v>
      </c>
      <c r="I76" s="121">
        <v>86.163600000000002</v>
      </c>
      <c r="J76" s="142">
        <v>2871.1003700000001</v>
      </c>
      <c r="K76" s="34">
        <f>I76</f>
        <v>86.163600000000002</v>
      </c>
      <c r="L76" s="142">
        <f>J76</f>
        <v>2871.1003700000001</v>
      </c>
      <c r="M76" s="151"/>
      <c r="N76" s="138" t="s">
        <v>95</v>
      </c>
    </row>
    <row r="77" spans="1:14" ht="80.25" customHeight="1">
      <c r="A77" s="117" t="s">
        <v>63</v>
      </c>
      <c r="B77" s="218"/>
      <c r="C77" s="221"/>
      <c r="D77" s="224"/>
      <c r="E77" s="206"/>
      <c r="F77" s="121"/>
      <c r="G77" s="121">
        <v>6000</v>
      </c>
      <c r="H77" s="121"/>
      <c r="I77" s="121">
        <v>8383.5101699999996</v>
      </c>
      <c r="J77" s="142"/>
      <c r="K77" s="121">
        <f t="shared" ref="K77:K80" si="4">I77</f>
        <v>8383.5101699999996</v>
      </c>
      <c r="L77" s="34"/>
      <c r="M77" s="151"/>
      <c r="N77" s="138" t="s">
        <v>136</v>
      </c>
    </row>
    <row r="78" spans="1:14" s="12" customFormat="1" ht="38.15" hidden="1" customHeight="1">
      <c r="A78" s="117" t="s">
        <v>88</v>
      </c>
      <c r="B78" s="218"/>
      <c r="C78" s="221"/>
      <c r="D78" s="224"/>
      <c r="E78" s="206"/>
      <c r="F78" s="121"/>
      <c r="G78" s="121"/>
      <c r="H78" s="121"/>
      <c r="I78" s="121"/>
      <c r="J78" s="142"/>
      <c r="K78" s="34">
        <f t="shared" si="4"/>
        <v>0</v>
      </c>
      <c r="L78" s="34"/>
      <c r="M78" s="151"/>
      <c r="N78" s="138" t="s">
        <v>99</v>
      </c>
    </row>
    <row r="79" spans="1:14" s="12" customFormat="1" ht="38.15" customHeight="1">
      <c r="A79" s="117" t="s">
        <v>88</v>
      </c>
      <c r="B79" s="219"/>
      <c r="C79" s="222"/>
      <c r="D79" s="225"/>
      <c r="E79" s="207"/>
      <c r="F79" s="121"/>
      <c r="G79" s="121"/>
      <c r="H79" s="121"/>
      <c r="I79" s="121">
        <v>6622.6935000000003</v>
      </c>
      <c r="J79" s="142"/>
      <c r="K79" s="34"/>
      <c r="L79" s="34"/>
      <c r="M79" s="151"/>
      <c r="N79" s="138"/>
    </row>
    <row r="80" spans="1:14" s="12" customFormat="1" ht="34.5" customHeight="1">
      <c r="A80" s="152" t="s">
        <v>87</v>
      </c>
      <c r="B80" s="130"/>
      <c r="C80" s="130"/>
      <c r="D80" s="124" t="s">
        <v>23</v>
      </c>
      <c r="E80" s="124">
        <v>100000</v>
      </c>
      <c r="F80" s="124">
        <v>1000</v>
      </c>
      <c r="G80" s="124">
        <v>5000</v>
      </c>
      <c r="H80" s="124"/>
      <c r="I80" s="124"/>
      <c r="J80" s="72">
        <v>622.84855000000005</v>
      </c>
      <c r="K80" s="32">
        <f t="shared" si="4"/>
        <v>0</v>
      </c>
      <c r="L80" s="72">
        <f>J80</f>
        <v>622.84855000000005</v>
      </c>
      <c r="M80" s="33"/>
      <c r="N80" s="102" t="s">
        <v>99</v>
      </c>
    </row>
    <row r="81" spans="1:16" s="69" customFormat="1" ht="38.25" customHeight="1">
      <c r="A81" s="187" t="s">
        <v>191</v>
      </c>
      <c r="B81" s="187"/>
      <c r="C81" s="187"/>
      <c r="D81" s="187"/>
      <c r="E81" s="187"/>
      <c r="F81" s="187"/>
      <c r="G81" s="73">
        <f>G82+G86+G87+G85</f>
        <v>54380</v>
      </c>
      <c r="H81" s="73">
        <f t="shared" ref="H81:L81" si="5">H82+H86+H87+H85</f>
        <v>0</v>
      </c>
      <c r="I81" s="73">
        <f t="shared" si="5"/>
        <v>56186.891019999995</v>
      </c>
      <c r="J81" s="73">
        <f t="shared" si="5"/>
        <v>0</v>
      </c>
      <c r="K81" s="73">
        <f t="shared" si="5"/>
        <v>168335.33973599999</v>
      </c>
      <c r="L81" s="73">
        <f t="shared" si="5"/>
        <v>14218.655699999999</v>
      </c>
      <c r="M81" s="76"/>
      <c r="N81" s="77"/>
      <c r="P81" s="158"/>
    </row>
    <row r="82" spans="1:16" s="12" customFormat="1" ht="41.25" customHeight="1">
      <c r="A82" s="238" t="s">
        <v>42</v>
      </c>
      <c r="B82" s="125">
        <v>42052</v>
      </c>
      <c r="C82" s="30">
        <v>44408</v>
      </c>
      <c r="D82" s="128" t="s">
        <v>16</v>
      </c>
      <c r="E82" s="128">
        <v>8610</v>
      </c>
      <c r="F82" s="128"/>
      <c r="G82" s="207">
        <v>480</v>
      </c>
      <c r="H82" s="207"/>
      <c r="I82" s="207">
        <v>395.24381</v>
      </c>
      <c r="J82" s="207"/>
      <c r="K82" s="207">
        <f>30720.11513+I82</f>
        <v>31115.358939999998</v>
      </c>
      <c r="L82" s="207">
        <v>14218.655699999999</v>
      </c>
      <c r="M82" s="150"/>
      <c r="N82" s="229" t="s">
        <v>209</v>
      </c>
    </row>
    <row r="83" spans="1:16" s="12" customFormat="1" ht="27.75" customHeight="1">
      <c r="A83" s="186"/>
      <c r="B83" s="132">
        <v>41978</v>
      </c>
      <c r="C83" s="35">
        <v>42735</v>
      </c>
      <c r="D83" s="121" t="s">
        <v>17</v>
      </c>
      <c r="E83" s="121"/>
      <c r="F83" s="121">
        <v>500</v>
      </c>
      <c r="G83" s="193"/>
      <c r="H83" s="193"/>
      <c r="I83" s="193"/>
      <c r="J83" s="193"/>
      <c r="K83" s="193"/>
      <c r="L83" s="193"/>
      <c r="M83" s="151"/>
      <c r="N83" s="230"/>
    </row>
    <row r="84" spans="1:16" s="12" customFormat="1" ht="36" customHeight="1">
      <c r="A84" s="239"/>
      <c r="B84" s="36">
        <v>42052</v>
      </c>
      <c r="C84" s="37">
        <v>44121</v>
      </c>
      <c r="D84" s="131" t="s">
        <v>17</v>
      </c>
      <c r="E84" s="131"/>
      <c r="F84" s="131">
        <v>5300</v>
      </c>
      <c r="G84" s="213"/>
      <c r="H84" s="213"/>
      <c r="I84" s="213"/>
      <c r="J84" s="213"/>
      <c r="K84" s="213"/>
      <c r="L84" s="213"/>
      <c r="M84" s="38"/>
      <c r="N84" s="231"/>
    </row>
    <row r="85" spans="1:16" s="7" customFormat="1" ht="203.25" customHeight="1">
      <c r="A85" s="143" t="s">
        <v>112</v>
      </c>
      <c r="B85" s="120">
        <v>43486</v>
      </c>
      <c r="C85" s="30">
        <v>46022</v>
      </c>
      <c r="D85" s="128" t="s">
        <v>23</v>
      </c>
      <c r="E85" s="128">
        <v>16000</v>
      </c>
      <c r="F85" s="128"/>
      <c r="G85" s="128">
        <v>18500</v>
      </c>
      <c r="H85" s="128"/>
      <c r="I85" s="128">
        <v>18303.56277</v>
      </c>
      <c r="J85" s="128"/>
      <c r="K85" s="128">
        <f>3584.49022+I85</f>
        <v>21888.05299</v>
      </c>
      <c r="L85" s="128"/>
      <c r="M85" s="150"/>
      <c r="N85" s="105" t="s">
        <v>178</v>
      </c>
    </row>
    <row r="86" spans="1:16" s="7" customFormat="1" ht="150.75" customHeight="1">
      <c r="A86" s="188" t="s">
        <v>43</v>
      </c>
      <c r="B86" s="118">
        <v>41964</v>
      </c>
      <c r="C86" s="190">
        <v>44834</v>
      </c>
      <c r="D86" s="142" t="s">
        <v>16</v>
      </c>
      <c r="E86" s="121">
        <v>32400</v>
      </c>
      <c r="F86" s="121"/>
      <c r="G86" s="121">
        <v>15400</v>
      </c>
      <c r="H86" s="121"/>
      <c r="I86" s="121">
        <v>7934.9883499999996</v>
      </c>
      <c r="J86" s="142"/>
      <c r="K86" s="121">
        <f>7917.47517+I86</f>
        <v>15852.463519999999</v>
      </c>
      <c r="L86" s="121"/>
      <c r="M86" s="151"/>
      <c r="N86" s="139" t="s">
        <v>197</v>
      </c>
    </row>
    <row r="87" spans="1:16" s="12" customFormat="1" ht="49.5" customHeight="1">
      <c r="A87" s="189"/>
      <c r="B87" s="119">
        <v>43920</v>
      </c>
      <c r="C87" s="191"/>
      <c r="D87" s="72" t="s">
        <v>23</v>
      </c>
      <c r="E87" s="124">
        <v>18200</v>
      </c>
      <c r="F87" s="124"/>
      <c r="G87" s="124">
        <v>20000</v>
      </c>
      <c r="H87" s="124"/>
      <c r="I87" s="124">
        <v>29553.096089999999</v>
      </c>
      <c r="J87" s="72"/>
      <c r="K87" s="124">
        <f>69926.368196+I87</f>
        <v>99479.464286000002</v>
      </c>
      <c r="L87" s="124"/>
      <c r="M87" s="33"/>
      <c r="N87" s="103" t="s">
        <v>97</v>
      </c>
    </row>
    <row r="88" spans="1:16" ht="31.5" customHeight="1">
      <c r="A88" s="187" t="s">
        <v>12</v>
      </c>
      <c r="B88" s="187"/>
      <c r="C88" s="187"/>
      <c r="D88" s="187"/>
      <c r="E88" s="187"/>
      <c r="F88" s="187"/>
      <c r="G88" s="73">
        <f t="shared" ref="G88:L88" si="6">G89+G90</f>
        <v>0</v>
      </c>
      <c r="H88" s="73">
        <f t="shared" si="6"/>
        <v>2300</v>
      </c>
      <c r="I88" s="73">
        <f t="shared" si="6"/>
        <v>0</v>
      </c>
      <c r="J88" s="73">
        <f t="shared" si="6"/>
        <v>4604.12014</v>
      </c>
      <c r="K88" s="73">
        <f t="shared" si="6"/>
        <v>0</v>
      </c>
      <c r="L88" s="73">
        <f t="shared" si="6"/>
        <v>34121.784849999996</v>
      </c>
      <c r="M88" s="75"/>
      <c r="N88" s="74"/>
    </row>
    <row r="89" spans="1:16" ht="117.75" customHeight="1">
      <c r="A89" s="143" t="s">
        <v>10</v>
      </c>
      <c r="B89" s="125">
        <v>40119</v>
      </c>
      <c r="C89" s="120">
        <v>44196</v>
      </c>
      <c r="D89" s="128" t="s">
        <v>23</v>
      </c>
      <c r="E89" s="128"/>
      <c r="F89" s="128">
        <v>2267</v>
      </c>
      <c r="G89" s="128">
        <v>0</v>
      </c>
      <c r="H89" s="128">
        <v>2300</v>
      </c>
      <c r="I89" s="128"/>
      <c r="J89" s="134">
        <v>1466.78666</v>
      </c>
      <c r="K89" s="128"/>
      <c r="L89" s="128">
        <f>9106.60632+J89</f>
        <v>10573.392980000001</v>
      </c>
      <c r="M89" s="150" t="s">
        <v>36</v>
      </c>
      <c r="N89" s="135" t="s">
        <v>98</v>
      </c>
    </row>
    <row r="90" spans="1:16" ht="144" customHeight="1">
      <c r="A90" s="152" t="s">
        <v>2</v>
      </c>
      <c r="B90" s="71">
        <v>40589</v>
      </c>
      <c r="C90" s="71" t="s">
        <v>122</v>
      </c>
      <c r="D90" s="72" t="s">
        <v>23</v>
      </c>
      <c r="E90" s="124"/>
      <c r="F90" s="124">
        <v>8250</v>
      </c>
      <c r="G90" s="124">
        <v>0</v>
      </c>
      <c r="H90" s="124">
        <v>0</v>
      </c>
      <c r="I90" s="124"/>
      <c r="J90" s="124">
        <v>3137.3334799999998</v>
      </c>
      <c r="K90" s="124"/>
      <c r="L90" s="124">
        <f>20411.05839+J90</f>
        <v>23548.391869999999</v>
      </c>
      <c r="M90" s="33" t="s">
        <v>36</v>
      </c>
      <c r="N90" s="102" t="s">
        <v>120</v>
      </c>
    </row>
    <row r="91" spans="1:16" ht="32.25" customHeight="1">
      <c r="A91" s="187" t="s">
        <v>11</v>
      </c>
      <c r="B91" s="187"/>
      <c r="C91" s="187"/>
      <c r="D91" s="187"/>
      <c r="E91" s="187"/>
      <c r="F91" s="187"/>
      <c r="G91" s="73">
        <f>G92+G105+G99+G100+G98+G101+G97+G106+G94+G102+G96+G103+G93+G95</f>
        <v>320800</v>
      </c>
      <c r="H91" s="73">
        <f t="shared" ref="H91:M91" si="7">H92+H105+H99+H100+H98+H101+H97+H106+H94+H102+H96+H103+H93+H95</f>
        <v>11600</v>
      </c>
      <c r="I91" s="73">
        <f>I92+I105+I99+I100+I98+I101+I97+I106+I94+I102+I96+I103+I93+I95+I104+I107</f>
        <v>232515.7776</v>
      </c>
      <c r="J91" s="73">
        <f>J92+J105+J99+J100+J98+J101+J97+J106+J94+J102+J96+J103+J93+J95+J104+J107</f>
        <v>11905.553240000001</v>
      </c>
      <c r="K91" s="73">
        <f>K92+K105+K99+K100+K98+K101+K97+K106+K94+K102+K96+K103+K93+K95+K104+K107</f>
        <v>647848.87563999987</v>
      </c>
      <c r="L91" s="73">
        <f>L92+L105+L99+L100+L98+L101+L97+L106+L94+L102+L96+L103+L93+L95+L104+L107</f>
        <v>37594.42553</v>
      </c>
      <c r="M91" s="73">
        <f t="shared" si="7"/>
        <v>0</v>
      </c>
      <c r="N91" s="74"/>
    </row>
    <row r="92" spans="1:16" s="7" customFormat="1" ht="44.25" customHeight="1">
      <c r="A92" s="143" t="s">
        <v>128</v>
      </c>
      <c r="B92" s="200">
        <v>43634</v>
      </c>
      <c r="C92" s="200">
        <v>46112</v>
      </c>
      <c r="D92" s="226" t="s">
        <v>23</v>
      </c>
      <c r="E92" s="206">
        <v>90000</v>
      </c>
      <c r="F92" s="128"/>
      <c r="G92" s="128">
        <v>26500</v>
      </c>
      <c r="H92" s="128"/>
      <c r="I92" s="128">
        <v>20032.58365</v>
      </c>
      <c r="J92" s="134"/>
      <c r="K92" s="128">
        <f>1703.32482+I92</f>
        <v>21735.908470000002</v>
      </c>
      <c r="L92" s="128"/>
      <c r="M92" s="150"/>
      <c r="N92" s="104" t="s">
        <v>206</v>
      </c>
    </row>
    <row r="93" spans="1:16" s="7" customFormat="1" ht="54" customHeight="1">
      <c r="A93" s="143" t="s">
        <v>129</v>
      </c>
      <c r="B93" s="201"/>
      <c r="C93" s="201"/>
      <c r="D93" s="227"/>
      <c r="E93" s="207"/>
      <c r="F93" s="128"/>
      <c r="G93" s="128">
        <v>1600</v>
      </c>
      <c r="H93" s="128"/>
      <c r="I93" s="128">
        <v>705.84076000000005</v>
      </c>
      <c r="J93" s="134"/>
      <c r="K93" s="128">
        <f>56.29921+I93</f>
        <v>762.13997000000006</v>
      </c>
      <c r="L93" s="128"/>
      <c r="M93" s="150"/>
      <c r="N93" s="137" t="s">
        <v>228</v>
      </c>
    </row>
    <row r="94" spans="1:16" s="31" customFormat="1" ht="62.25" customHeight="1">
      <c r="A94" s="143" t="s">
        <v>124</v>
      </c>
      <c r="B94" s="125">
        <v>42713</v>
      </c>
      <c r="C94" s="125">
        <v>45657</v>
      </c>
      <c r="D94" s="134" t="s">
        <v>23</v>
      </c>
      <c r="E94" s="128">
        <v>100000</v>
      </c>
      <c r="F94" s="128"/>
      <c r="G94" s="128">
        <v>80000</v>
      </c>
      <c r="H94" s="128"/>
      <c r="I94" s="128">
        <v>29772.001950000002</v>
      </c>
      <c r="J94" s="134"/>
      <c r="K94" s="128">
        <f>I94</f>
        <v>29772.001950000002</v>
      </c>
      <c r="L94" s="128"/>
      <c r="M94" s="150"/>
      <c r="N94" s="178" t="s">
        <v>227</v>
      </c>
    </row>
    <row r="95" spans="1:16" s="31" customFormat="1" ht="46.5" customHeight="1">
      <c r="A95" s="97" t="s">
        <v>166</v>
      </c>
      <c r="B95" s="61" t="s">
        <v>159</v>
      </c>
      <c r="C95" s="61" t="s">
        <v>160</v>
      </c>
      <c r="D95" s="62" t="s">
        <v>23</v>
      </c>
      <c r="E95" s="63">
        <v>28700</v>
      </c>
      <c r="F95" s="63"/>
      <c r="G95" s="63">
        <v>10000</v>
      </c>
      <c r="H95" s="63"/>
      <c r="I95" s="63">
        <v>8501.6616900000008</v>
      </c>
      <c r="J95" s="62"/>
      <c r="K95" s="63">
        <f>I95</f>
        <v>8501.6616900000008</v>
      </c>
      <c r="L95" s="63"/>
      <c r="M95" s="64"/>
      <c r="N95" s="105" t="s">
        <v>173</v>
      </c>
    </row>
    <row r="96" spans="1:16" s="7" customFormat="1" ht="128.25" customHeight="1">
      <c r="A96" s="143" t="s">
        <v>121</v>
      </c>
      <c r="B96" s="125">
        <v>43493</v>
      </c>
      <c r="C96" s="125">
        <v>44926</v>
      </c>
      <c r="D96" s="134" t="s">
        <v>23</v>
      </c>
      <c r="E96" s="128">
        <v>10000</v>
      </c>
      <c r="F96" s="128"/>
      <c r="G96" s="128"/>
      <c r="H96" s="128"/>
      <c r="I96" s="128"/>
      <c r="J96" s="134">
        <v>10590.6</v>
      </c>
      <c r="K96" s="128"/>
      <c r="L96" s="128">
        <f>21314.5+J96</f>
        <v>31905.1</v>
      </c>
      <c r="M96" s="150"/>
      <c r="N96" s="137" t="s">
        <v>134</v>
      </c>
    </row>
    <row r="97" spans="1:14" s="27" customFormat="1" ht="44.25" customHeight="1">
      <c r="A97" s="143" t="s">
        <v>113</v>
      </c>
      <c r="B97" s="125">
        <v>43630</v>
      </c>
      <c r="C97" s="125">
        <v>45000</v>
      </c>
      <c r="D97" s="134" t="s">
        <v>23</v>
      </c>
      <c r="E97" s="128">
        <v>20000</v>
      </c>
      <c r="F97" s="128"/>
      <c r="G97" s="149">
        <v>3400</v>
      </c>
      <c r="H97" s="128">
        <v>3400</v>
      </c>
      <c r="I97" s="128"/>
      <c r="J97" s="134"/>
      <c r="K97" s="34">
        <f>I97</f>
        <v>0</v>
      </c>
      <c r="L97" s="28">
        <f>J97</f>
        <v>0</v>
      </c>
      <c r="M97" s="39"/>
      <c r="N97" s="137" t="s">
        <v>119</v>
      </c>
    </row>
    <row r="98" spans="1:14" s="27" customFormat="1" ht="47.25" customHeight="1">
      <c r="A98" s="117" t="s">
        <v>58</v>
      </c>
      <c r="B98" s="147">
        <v>42661</v>
      </c>
      <c r="C98" s="48">
        <v>44742</v>
      </c>
      <c r="D98" s="121" t="s">
        <v>23</v>
      </c>
      <c r="E98" s="121">
        <v>14000</v>
      </c>
      <c r="F98" s="121"/>
      <c r="G98" s="141">
        <v>1400</v>
      </c>
      <c r="H98" s="121">
        <v>4200</v>
      </c>
      <c r="I98" s="124">
        <v>9302.0818799999997</v>
      </c>
      <c r="J98" s="121">
        <v>1314.9532400000001</v>
      </c>
      <c r="K98" s="121">
        <f>903.81631+I98</f>
        <v>10205.89819</v>
      </c>
      <c r="L98" s="121">
        <f>J98</f>
        <v>1314.9532400000001</v>
      </c>
      <c r="M98" s="151"/>
      <c r="N98" s="171" t="s">
        <v>229</v>
      </c>
    </row>
    <row r="99" spans="1:14" ht="34.5" customHeight="1">
      <c r="A99" s="101" t="s">
        <v>48</v>
      </c>
      <c r="B99" s="147">
        <v>42346</v>
      </c>
      <c r="C99" s="147">
        <v>43228</v>
      </c>
      <c r="D99" s="121" t="s">
        <v>23</v>
      </c>
      <c r="E99" s="121">
        <v>82821</v>
      </c>
      <c r="F99" s="121"/>
      <c r="G99" s="141">
        <v>50000</v>
      </c>
      <c r="H99" s="121"/>
      <c r="I99" s="121">
        <v>37562.472000000002</v>
      </c>
      <c r="J99" s="121"/>
      <c r="K99" s="121">
        <f>250423.11518+I99</f>
        <v>287985.58717999997</v>
      </c>
      <c r="L99" s="121"/>
      <c r="M99" s="151"/>
      <c r="N99" s="139" t="s">
        <v>72</v>
      </c>
    </row>
    <row r="100" spans="1:14" s="7" customFormat="1" ht="66" customHeight="1">
      <c r="A100" s="101" t="s">
        <v>57</v>
      </c>
      <c r="B100" s="147">
        <v>42929</v>
      </c>
      <c r="C100" s="48">
        <v>44755</v>
      </c>
      <c r="D100" s="121" t="s">
        <v>23</v>
      </c>
      <c r="E100" s="121">
        <v>5500</v>
      </c>
      <c r="F100" s="121">
        <v>1500</v>
      </c>
      <c r="G100" s="141">
        <v>4800</v>
      </c>
      <c r="H100" s="121">
        <v>4000</v>
      </c>
      <c r="I100" s="121"/>
      <c r="J100" s="121"/>
      <c r="K100" s="121">
        <f>15526.9208+I100</f>
        <v>15526.9208</v>
      </c>
      <c r="L100" s="121">
        <f>4374.37229+J100</f>
        <v>4374.3722900000002</v>
      </c>
      <c r="M100" s="151"/>
      <c r="N100" s="106" t="s">
        <v>183</v>
      </c>
    </row>
    <row r="101" spans="1:14" ht="33" customHeight="1">
      <c r="A101" s="107" t="s">
        <v>127</v>
      </c>
      <c r="B101" s="118">
        <v>43798</v>
      </c>
      <c r="C101" s="118">
        <v>44915</v>
      </c>
      <c r="D101" s="121" t="s">
        <v>23</v>
      </c>
      <c r="E101" s="124">
        <v>80000</v>
      </c>
      <c r="F101" s="124"/>
      <c r="G101" s="141">
        <v>120000</v>
      </c>
      <c r="H101" s="124"/>
      <c r="I101" s="124">
        <v>105713.06662</v>
      </c>
      <c r="J101" s="124"/>
      <c r="K101" s="121">
        <f>116796.5739+I101</f>
        <v>222509.64052000002</v>
      </c>
      <c r="L101" s="32"/>
      <c r="M101" s="33"/>
      <c r="N101" s="108" t="s">
        <v>170</v>
      </c>
    </row>
    <row r="102" spans="1:14" s="12" customFormat="1" ht="62.25" customHeight="1">
      <c r="A102" s="107" t="s">
        <v>125</v>
      </c>
      <c r="B102" s="118">
        <v>43950</v>
      </c>
      <c r="C102" s="118">
        <v>45280</v>
      </c>
      <c r="D102" s="121" t="s">
        <v>23</v>
      </c>
      <c r="E102" s="124">
        <v>75000</v>
      </c>
      <c r="F102" s="124"/>
      <c r="G102" s="141"/>
      <c r="H102" s="124"/>
      <c r="I102" s="124"/>
      <c r="J102" s="124"/>
      <c r="K102" s="32">
        <f>I102</f>
        <v>0</v>
      </c>
      <c r="L102" s="32"/>
      <c r="M102" s="33"/>
      <c r="N102" s="171" t="s">
        <v>230</v>
      </c>
    </row>
    <row r="103" spans="1:14" s="12" customFormat="1" ht="46.5" customHeight="1">
      <c r="A103" s="107" t="s">
        <v>207</v>
      </c>
      <c r="B103" s="118">
        <v>44074</v>
      </c>
      <c r="C103" s="118">
        <v>46022</v>
      </c>
      <c r="D103" s="121" t="s">
        <v>23</v>
      </c>
      <c r="E103" s="124">
        <v>35700</v>
      </c>
      <c r="F103" s="124"/>
      <c r="G103" s="141">
        <v>2100</v>
      </c>
      <c r="H103" s="124"/>
      <c r="I103" s="124">
        <v>186.53188</v>
      </c>
      <c r="J103" s="124"/>
      <c r="K103" s="121">
        <f>355.83975+I103</f>
        <v>542.37162999999998</v>
      </c>
      <c r="L103" s="32"/>
      <c r="M103" s="33"/>
      <c r="N103" s="135" t="s">
        <v>174</v>
      </c>
    </row>
    <row r="104" spans="1:14" s="9" customFormat="1" ht="61.5" customHeight="1">
      <c r="A104" s="109" t="s">
        <v>167</v>
      </c>
      <c r="B104" s="65" t="s">
        <v>163</v>
      </c>
      <c r="C104" s="65" t="s">
        <v>164</v>
      </c>
      <c r="D104" s="44" t="s">
        <v>23</v>
      </c>
      <c r="E104" s="66">
        <v>85000</v>
      </c>
      <c r="F104" s="66"/>
      <c r="G104" s="47"/>
      <c r="H104" s="66"/>
      <c r="I104" s="66">
        <v>870.66150000000005</v>
      </c>
      <c r="J104" s="66"/>
      <c r="K104" s="44">
        <f>I104</f>
        <v>870.66150000000005</v>
      </c>
      <c r="L104" s="67"/>
      <c r="M104" s="68"/>
      <c r="N104" s="123" t="s">
        <v>165</v>
      </c>
    </row>
    <row r="105" spans="1:14" ht="275.25" customHeight="1">
      <c r="A105" s="107" t="s">
        <v>47</v>
      </c>
      <c r="B105" s="190">
        <v>42457</v>
      </c>
      <c r="C105" s="190">
        <v>45046</v>
      </c>
      <c r="D105" s="198" t="s">
        <v>17</v>
      </c>
      <c r="E105" s="198">
        <v>23500</v>
      </c>
      <c r="F105" s="124"/>
      <c r="G105" s="141">
        <v>17600</v>
      </c>
      <c r="H105" s="124"/>
      <c r="I105" s="124">
        <v>16084.87724</v>
      </c>
      <c r="J105" s="124"/>
      <c r="K105" s="121">
        <f>23545.80935+I105</f>
        <v>39630.686589999998</v>
      </c>
      <c r="L105" s="32"/>
      <c r="M105" s="33"/>
      <c r="N105" s="138" t="s">
        <v>179</v>
      </c>
    </row>
    <row r="106" spans="1:14" s="27" customFormat="1" ht="111" customHeight="1">
      <c r="A106" s="144" t="s">
        <v>114</v>
      </c>
      <c r="B106" s="197"/>
      <c r="C106" s="197"/>
      <c r="D106" s="199"/>
      <c r="E106" s="199"/>
      <c r="F106" s="131"/>
      <c r="G106" s="54">
        <v>3400</v>
      </c>
      <c r="H106" s="131"/>
      <c r="I106" s="131">
        <v>3026.5735800000002</v>
      </c>
      <c r="J106" s="131"/>
      <c r="K106" s="131">
        <f>6021.39872+I106</f>
        <v>9047.9723000000013</v>
      </c>
      <c r="L106" s="131"/>
      <c r="M106" s="38"/>
      <c r="N106" s="110" t="s">
        <v>192</v>
      </c>
    </row>
    <row r="107" spans="1:14" s="27" customFormat="1" ht="153.75" customHeight="1">
      <c r="A107" s="111" t="s">
        <v>168</v>
      </c>
      <c r="B107" s="112" t="s">
        <v>169</v>
      </c>
      <c r="C107" s="112" t="s">
        <v>172</v>
      </c>
      <c r="D107" s="113" t="s">
        <v>23</v>
      </c>
      <c r="E107" s="113">
        <v>16966.400000000001</v>
      </c>
      <c r="F107" s="113"/>
      <c r="G107" s="114"/>
      <c r="H107" s="113"/>
      <c r="I107" s="113">
        <v>757.42484999999999</v>
      </c>
      <c r="J107" s="113"/>
      <c r="K107" s="113">
        <f>I107</f>
        <v>757.42484999999999</v>
      </c>
      <c r="L107" s="115"/>
      <c r="M107" s="116"/>
      <c r="N107" s="277" t="s">
        <v>231</v>
      </c>
    </row>
    <row r="108" spans="1:14" ht="36.75" customHeight="1" thickBot="1">
      <c r="A108" s="43"/>
      <c r="B108" s="40"/>
      <c r="C108" s="40"/>
      <c r="D108" s="6"/>
      <c r="E108" s="41"/>
      <c r="F108" s="42" t="s">
        <v>19</v>
      </c>
      <c r="G108" s="42">
        <f>G7+G35+G54+G66+G81+G88+G91</f>
        <v>1376930</v>
      </c>
      <c r="H108" s="42">
        <f t="shared" ref="H108:L108" si="8">H7+H35+H54+H66+H81+H88+H91</f>
        <v>49480</v>
      </c>
      <c r="I108" s="42">
        <f t="shared" si="8"/>
        <v>1391770.1554999999</v>
      </c>
      <c r="J108" s="42">
        <f t="shared" si="8"/>
        <v>34303.111360000003</v>
      </c>
      <c r="K108" s="42">
        <f t="shared" si="8"/>
        <v>7480943.3948810007</v>
      </c>
      <c r="L108" s="42">
        <f t="shared" si="8"/>
        <v>319374.88922000001</v>
      </c>
      <c r="M108" s="41"/>
      <c r="N108" s="55"/>
    </row>
    <row r="109" spans="1:14" ht="12" customHeight="1">
      <c r="A109" s="16"/>
      <c r="B109" s="15"/>
      <c r="C109" s="15"/>
      <c r="D109" s="16"/>
      <c r="E109" s="16"/>
      <c r="F109" s="16"/>
      <c r="G109" s="16"/>
      <c r="H109" s="16"/>
      <c r="I109" s="16"/>
      <c r="J109" s="16"/>
      <c r="K109" s="16"/>
      <c r="L109" s="16"/>
      <c r="M109" s="16"/>
      <c r="N109" s="53"/>
    </row>
    <row r="110" spans="1:14" s="12" customFormat="1" ht="24" customHeight="1">
      <c r="A110" s="185" t="s">
        <v>69</v>
      </c>
      <c r="B110" s="185"/>
      <c r="C110" s="185"/>
      <c r="D110" s="185"/>
      <c r="E110" s="185"/>
      <c r="F110" s="185"/>
      <c r="G110" s="185"/>
      <c r="H110" s="185"/>
      <c r="I110" s="185"/>
      <c r="J110" s="185"/>
      <c r="K110" s="185"/>
      <c r="L110" s="185"/>
      <c r="M110" s="185"/>
      <c r="N110" s="185"/>
    </row>
    <row r="111" spans="1:14" s="9" customFormat="1" ht="30.75" customHeight="1">
      <c r="A111" s="12" t="s">
        <v>70</v>
      </c>
      <c r="B111" s="14"/>
      <c r="C111" s="14"/>
      <c r="D111" s="12"/>
      <c r="E111" s="12"/>
      <c r="F111" s="12"/>
      <c r="G111" s="12"/>
      <c r="H111" s="12"/>
      <c r="I111" s="24"/>
      <c r="J111" s="12"/>
      <c r="K111" s="13"/>
      <c r="L111" s="12"/>
      <c r="M111" s="12"/>
      <c r="N111" s="51"/>
    </row>
    <row r="112" spans="1:14">
      <c r="I112" s="13"/>
    </row>
    <row r="114" ht="24.75" customHeight="1"/>
  </sheetData>
  <mergeCells count="160">
    <mergeCell ref="D4:F4"/>
    <mergeCell ref="K5:L5"/>
    <mergeCell ref="K4:L4"/>
    <mergeCell ref="J12:J13"/>
    <mergeCell ref="I8:I9"/>
    <mergeCell ref="N8:N9"/>
    <mergeCell ref="N12:N13"/>
    <mergeCell ref="E21:E23"/>
    <mergeCell ref="G20:G21"/>
    <mergeCell ref="H20:H21"/>
    <mergeCell ref="D5:F5"/>
    <mergeCell ref="B16:B17"/>
    <mergeCell ref="C16:C17"/>
    <mergeCell ref="G16:G17"/>
    <mergeCell ref="F16:F17"/>
    <mergeCell ref="N10:N11"/>
    <mergeCell ref="I5:J5"/>
    <mergeCell ref="H8:H9"/>
    <mergeCell ref="M4:M5"/>
    <mergeCell ref="N4:N5"/>
    <mergeCell ref="N16:N17"/>
    <mergeCell ref="L16:L17"/>
    <mergeCell ref="I4:J4"/>
    <mergeCell ref="G10:G11"/>
    <mergeCell ref="F12:F13"/>
    <mergeCell ref="G8:G9"/>
    <mergeCell ref="G12:G13"/>
    <mergeCell ref="G4:H4"/>
    <mergeCell ref="G5:H5"/>
    <mergeCell ref="K8:K9"/>
    <mergeCell ref="K12:K13"/>
    <mergeCell ref="A4:A5"/>
    <mergeCell ref="B4:B5"/>
    <mergeCell ref="A12:A13"/>
    <mergeCell ref="B10:B11"/>
    <mergeCell ref="A16:A17"/>
    <mergeCell ref="A20:A21"/>
    <mergeCell ref="C10:C11"/>
    <mergeCell ref="A10:A11"/>
    <mergeCell ref="B8:B9"/>
    <mergeCell ref="B12:B13"/>
    <mergeCell ref="C4:C5"/>
    <mergeCell ref="A8:A9"/>
    <mergeCell ref="M8:M9"/>
    <mergeCell ref="M12:M13"/>
    <mergeCell ref="A35:F35"/>
    <mergeCell ref="B56:B57"/>
    <mergeCell ref="L20:L21"/>
    <mergeCell ref="K27:K28"/>
    <mergeCell ref="G36:G37"/>
    <mergeCell ref="L10:L11"/>
    <mergeCell ref="I10:I11"/>
    <mergeCell ref="J8:J9"/>
    <mergeCell ref="H12:H13"/>
    <mergeCell ref="F8:F9"/>
    <mergeCell ref="L8:L9"/>
    <mergeCell ref="L12:L13"/>
    <mergeCell ref="K10:K11"/>
    <mergeCell ref="I27:I28"/>
    <mergeCell ref="I16:I17"/>
    <mergeCell ref="K16:K17"/>
    <mergeCell ref="H16:H17"/>
    <mergeCell ref="K20:K21"/>
    <mergeCell ref="J20:J21"/>
    <mergeCell ref="I20:I21"/>
    <mergeCell ref="C36:C37"/>
    <mergeCell ref="H36:H37"/>
    <mergeCell ref="A36:A37"/>
    <mergeCell ref="I36:I37"/>
    <mergeCell ref="J36:J37"/>
    <mergeCell ref="K36:K37"/>
    <mergeCell ref="L36:L37"/>
    <mergeCell ref="I12:I13"/>
    <mergeCell ref="C8:C9"/>
    <mergeCell ref="C12:C13"/>
    <mergeCell ref="J10:J11"/>
    <mergeCell ref="C27:C28"/>
    <mergeCell ref="D27:D28"/>
    <mergeCell ref="J16:J17"/>
    <mergeCell ref="H27:H28"/>
    <mergeCell ref="J27:J28"/>
    <mergeCell ref="L27:L28"/>
    <mergeCell ref="H10:H11"/>
    <mergeCell ref="G27:G28"/>
    <mergeCell ref="B14:B15"/>
    <mergeCell ref="C14:C15"/>
    <mergeCell ref="E14:E16"/>
    <mergeCell ref="D14:D16"/>
    <mergeCell ref="B22:B23"/>
    <mergeCell ref="C22:C23"/>
    <mergeCell ref="D22:D23"/>
    <mergeCell ref="D92:D93"/>
    <mergeCell ref="C92:C93"/>
    <mergeCell ref="N20:N21"/>
    <mergeCell ref="H82:H84"/>
    <mergeCell ref="N40:N41"/>
    <mergeCell ref="F40:F41"/>
    <mergeCell ref="I82:I84"/>
    <mergeCell ref="J82:J84"/>
    <mergeCell ref="K82:K84"/>
    <mergeCell ref="L82:L84"/>
    <mergeCell ref="N82:N84"/>
    <mergeCell ref="N69:N70"/>
    <mergeCell ref="M40:M41"/>
    <mergeCell ref="G40:G41"/>
    <mergeCell ref="H40:H41"/>
    <mergeCell ref="I56:I57"/>
    <mergeCell ref="K56:K57"/>
    <mergeCell ref="J56:J57"/>
    <mergeCell ref="H56:H57"/>
    <mergeCell ref="G56:G57"/>
    <mergeCell ref="N27:N28"/>
    <mergeCell ref="A54:F54"/>
    <mergeCell ref="A82:A84"/>
    <mergeCell ref="A27:A28"/>
    <mergeCell ref="B69:B71"/>
    <mergeCell ref="J40:J41"/>
    <mergeCell ref="K40:K41"/>
    <mergeCell ref="A66:F66"/>
    <mergeCell ref="G82:G84"/>
    <mergeCell ref="B72:B73"/>
    <mergeCell ref="L56:L57"/>
    <mergeCell ref="C69:C71"/>
    <mergeCell ref="D69:D71"/>
    <mergeCell ref="E69:E71"/>
    <mergeCell ref="C56:C57"/>
    <mergeCell ref="F56:F57"/>
    <mergeCell ref="C40:C41"/>
    <mergeCell ref="A40:A41"/>
    <mergeCell ref="B40:B41"/>
    <mergeCell ref="B76:B79"/>
    <mergeCell ref="C76:C79"/>
    <mergeCell ref="D76:D79"/>
    <mergeCell ref="E76:E79"/>
    <mergeCell ref="F46:F47"/>
    <mergeCell ref="A81:F81"/>
    <mergeCell ref="N36:N37"/>
    <mergeCell ref="P7:P8"/>
    <mergeCell ref="A110:N110"/>
    <mergeCell ref="A56:A57"/>
    <mergeCell ref="A88:F88"/>
    <mergeCell ref="A91:F91"/>
    <mergeCell ref="A86:A87"/>
    <mergeCell ref="C86:C87"/>
    <mergeCell ref="C72:C73"/>
    <mergeCell ref="E72:E73"/>
    <mergeCell ref="N56:N57"/>
    <mergeCell ref="B105:B106"/>
    <mergeCell ref="C105:C106"/>
    <mergeCell ref="D105:D106"/>
    <mergeCell ref="E105:E106"/>
    <mergeCell ref="B92:B93"/>
    <mergeCell ref="E46:E47"/>
    <mergeCell ref="N46:N47"/>
    <mergeCell ref="E92:E93"/>
    <mergeCell ref="I40:I41"/>
    <mergeCell ref="L40:L41"/>
    <mergeCell ref="B46:B47"/>
    <mergeCell ref="C46:C47"/>
    <mergeCell ref="D46:D47"/>
  </mergeCells>
  <printOptions horizontalCentered="1"/>
  <pageMargins left="0.118110236220472" right="0.118110236220472" top="0.23622047244094499" bottom="0.23622047244094499" header="0" footer="0.118110236220472"/>
  <pageSetup paperSize="9" scale="40" fitToWidth="6" fitToHeight="0" orientation="landscape" r:id="rId1"/>
  <headerFooter alignWithMargins="0"/>
  <rowBreaks count="2" manualBreakCount="2">
    <brk id="53" max="13" man="1"/>
    <brk id="8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WEB-2021</vt:lpstr>
      <vt:lpstr>'WEB-2021'!Print_Area</vt:lpstr>
      <vt:lpstr>'WEB-2021'!Print_Titles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2022-06-20T08:24:22Z</cp:lastPrinted>
  <dcterms:created xsi:type="dcterms:W3CDTF">2011-04-14T08:42:21Z</dcterms:created>
  <dcterms:modified xsi:type="dcterms:W3CDTF">2022-06-20T08:24:51Z</dcterms:modified>
</cp:coreProperties>
</file>