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nna.rusieshvili\Desktop\WEB info\December 2018\"/>
    </mc:Choice>
  </mc:AlternateContent>
  <bookViews>
    <workbookView xWindow="11130" yWindow="2760" windowWidth="11190" windowHeight="9420" tabRatio="200"/>
  </bookViews>
  <sheets>
    <sheet name="For Website" sheetId="12" r:id="rId1"/>
  </sheets>
  <definedNames>
    <definedName name="_xlnm.Print_Titles" localSheetId="0">'For Website'!$A:$A,'For Website'!$4:$6</definedName>
  </definedNames>
  <calcPr calcId="162913"/>
</workbook>
</file>

<file path=xl/calcChain.xml><?xml version="1.0" encoding="utf-8"?>
<calcChain xmlns="http://schemas.openxmlformats.org/spreadsheetml/2006/main">
  <c r="K65" i="12" l="1"/>
  <c r="K21" i="12" l="1"/>
  <c r="K22" i="12"/>
  <c r="K23" i="12"/>
  <c r="K20" i="12"/>
  <c r="G60" i="12" l="1"/>
  <c r="G7" i="12"/>
  <c r="K85" i="12" l="1"/>
  <c r="K87" i="12" l="1"/>
  <c r="I51" i="12" l="1"/>
  <c r="K55" i="12" l="1"/>
  <c r="K40" i="12" l="1"/>
  <c r="K34" i="12"/>
  <c r="K33" i="12"/>
  <c r="K32" i="12"/>
  <c r="K31" i="12"/>
  <c r="K29" i="12"/>
  <c r="L17" i="12"/>
  <c r="K17" i="12"/>
  <c r="K16" i="12"/>
  <c r="K14" i="12"/>
  <c r="K12" i="12"/>
  <c r="K10" i="12"/>
  <c r="K8" i="12"/>
  <c r="L72" i="12" l="1"/>
  <c r="J60" i="12" l="1"/>
  <c r="I60" i="12"/>
  <c r="H60" i="12"/>
  <c r="K61" i="12" l="1"/>
  <c r="K18" i="12" l="1"/>
  <c r="K63" i="12" l="1"/>
  <c r="K66" i="12"/>
  <c r="K88" i="12"/>
  <c r="L83" i="12" l="1"/>
  <c r="K76" i="12" l="1"/>
  <c r="K75" i="12"/>
  <c r="H82" i="12" l="1"/>
  <c r="G82" i="12"/>
  <c r="K86" i="12"/>
  <c r="L82" i="12"/>
  <c r="I82" i="12"/>
  <c r="J82" i="12"/>
  <c r="L81" i="12"/>
  <c r="L80" i="12"/>
  <c r="L78" i="12"/>
  <c r="K82" i="12" l="1"/>
  <c r="K72" i="12" l="1"/>
  <c r="G71" i="12" l="1"/>
  <c r="G51" i="12"/>
  <c r="K58" i="12" l="1"/>
  <c r="K57" i="12"/>
  <c r="L59" i="12"/>
  <c r="L58" i="12"/>
  <c r="L57" i="12"/>
  <c r="L56" i="12"/>
  <c r="K56" i="12"/>
  <c r="K53" i="12"/>
  <c r="L52" i="12"/>
  <c r="K52" i="12"/>
  <c r="K51" i="12" l="1"/>
  <c r="L51" i="12"/>
  <c r="K49" i="12"/>
  <c r="K48" i="12"/>
  <c r="L47" i="12"/>
  <c r="K47" i="12"/>
  <c r="K46" i="12"/>
  <c r="K45" i="12"/>
  <c r="K43" i="12"/>
  <c r="K42" i="12"/>
  <c r="L39" i="12"/>
  <c r="K39" i="12"/>
  <c r="K38" i="12"/>
  <c r="L37" i="12"/>
  <c r="K37" i="12"/>
  <c r="K67" i="12"/>
  <c r="K64" i="12"/>
  <c r="K62" i="12"/>
  <c r="L62" i="12"/>
  <c r="L60" i="12" s="1"/>
  <c r="K60" i="12" l="1"/>
  <c r="J71" i="12"/>
  <c r="H71" i="12" l="1"/>
  <c r="I71" i="12"/>
  <c r="I36" i="12" l="1"/>
  <c r="F56" i="12" l="1"/>
  <c r="E56" i="12"/>
  <c r="E40" i="12" l="1"/>
  <c r="J36" i="12" l="1"/>
  <c r="H36" i="12"/>
  <c r="G36" i="12"/>
  <c r="K71" i="12" l="1"/>
  <c r="L71" i="12" l="1"/>
  <c r="J51" i="12" l="1"/>
  <c r="H51" i="12"/>
  <c r="E54" i="12"/>
  <c r="L36" i="12" l="1"/>
  <c r="K36" i="12"/>
  <c r="L7" i="12"/>
  <c r="J7" i="12"/>
  <c r="I7" i="12"/>
  <c r="H7" i="12"/>
  <c r="K7" i="12" l="1"/>
  <c r="H79" i="12"/>
  <c r="H89" i="12" s="1"/>
  <c r="I79" i="12"/>
  <c r="I89" i="12" s="1"/>
  <c r="J79" i="12"/>
  <c r="J89" i="12" s="1"/>
  <c r="K79" i="12"/>
  <c r="G79" i="12"/>
  <c r="G89" i="12" s="1"/>
  <c r="K89" i="12" l="1"/>
  <c r="L79" i="12"/>
  <c r="L89" i="12" s="1"/>
  <c r="E53" i="12" l="1"/>
  <c r="E41" i="12"/>
  <c r="E62" i="12" l="1"/>
  <c r="F83" i="12"/>
</calcChain>
</file>

<file path=xl/sharedStrings.xml><?xml version="1.0" encoding="utf-8"?>
<sst xmlns="http://schemas.openxmlformats.org/spreadsheetml/2006/main" count="252" uniqueCount="178">
  <si>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</si>
  <si>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</si>
  <si>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 ნაწილი (კახეთი)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</si>
  <si>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</si>
  <si>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</si>
  <si>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</si>
  <si>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</si>
  <si>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</si>
  <si>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</si>
  <si>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</si>
  <si>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</si>
  <si>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</si>
  <si>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</si>
  <si>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</si>
  <si>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>MCA-საქართველო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</si>
  <si>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</si>
  <si>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</si>
  <si>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</si>
  <si>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</si>
  <si>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</si>
  <si>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</si>
  <si>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</si>
  <si>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</si>
  <si>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</si>
  <si>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</si>
  <si>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</si>
  <si>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</si>
  <si>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</si>
  <si>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</si>
  <si>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</si>
  <si>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</si>
  <si>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</si>
  <si>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</si>
  <si>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</si>
  <si>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</si>
  <si>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</si>
  <si>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</si>
  <si>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</si>
  <si>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</si>
  <si>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</si>
  <si>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</si>
  <si>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</si>
  <si>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</si>
  <si>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</si>
  <si>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</si>
  <si>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</si>
  <si>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</si>
  <si>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</si>
  <si>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>ათასწლეულის გამოწვევა საქართველოს - მეორე კომპაქტი (MCC)</t>
  </si>
  <si>
    <t xml:space="preserve"> სულ ათვისებული თანხა (საკასო) **</t>
  </si>
  <si>
    <t>რეგიონალური და მუნიციპალური ინფრასტრუქტურის განვითარების პროექტი II (WB)</t>
  </si>
  <si>
    <t>ჭიათურის საბაგირო გზების რეკონსტრუქცია-რეაბილიტაციის პროექტი (საფრანგეთი)</t>
  </si>
  <si>
    <t>სოფლის მეურნეობის მოდერნიზაციის, ბაზარზე წვდომისა და მდგრადობის პროექტი (GEF, IFAD)</t>
  </si>
  <si>
    <t>ზემო სამგორის სარწყავი სისტემის რეაბილიტაცია (ORIO)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</si>
  <si>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</si>
  <si>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</si>
  <si>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</si>
  <si>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</si>
  <si>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</si>
  <si>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</si>
  <si>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</si>
  <si>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</si>
  <si>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</si>
  <si>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</si>
  <si>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</si>
  <si>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</si>
  <si>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</si>
  <si>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</si>
  <si>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</si>
  <si>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</si>
  <si>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</si>
  <si>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</si>
  <si>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აგროკრედიტი (EIB)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</si>
  <si>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</si>
  <si>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</si>
  <si>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</si>
  <si>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ჩრდილოეთის რგოლი ეგხ (I ფაზა) (EBRD, KfW)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</si>
  <si>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</si>
  <si>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</si>
  <si>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</si>
  <si>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საქართველოს ტექნიკური უნივერსიტეტის სტრუქტურაში, ჰიდროტექნიკური კვლევების ლაბორატორიის ჩამოყალიბების პროექტი (Unicredit Bank)</t>
  </si>
  <si>
    <t>ქ. ბათუმის ახალი შემოვლითი გზა (ADB, AIIB)</t>
  </si>
  <si>
    <t xml:space="preserve">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</si>
  <si>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</si>
  <si>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(დაგეგმილი)</t>
  </si>
  <si>
    <t>საქართველოში მყარი ნარჩენების მართვის პროექტი (EBRD)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</si>
  <si>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(სამუშაოები მიმდინარეობს).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</si>
  <si>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</si>
  <si>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</si>
  <si>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 xml:space="preserve"> - ახალი 500/220 კვ ქვესადგურის მშენებლობა ჯვარში (მიმდინარეობს);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(მიმდინარეობს)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</si>
  <si>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</si>
  <si>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</si>
  <si>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</si>
  <si>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</si>
  <si>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</si>
  <si>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</t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</si>
  <si>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</si>
  <si>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</si>
  <si>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</si>
  <si>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</si>
  <si>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</t>
  </si>
  <si>
    <t xml:space="preserve"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</t>
  </si>
  <si>
    <t>ბათუმში წყალმომარაგების და წყალარინების სისტემის რეაბილიტაცია და გაფართოება (მიმდინარეობს)</t>
  </si>
  <si>
    <t>საქართველოს სხვადასხვა რეგიონში წყლის მიწოდების გაუმჯობესება (მიმდინარეობს)</t>
  </si>
  <si>
    <t>250 მგვარ სიმძლავრის რეგულირებადი რეაქტორის მშენებლობა - ,,ქ/ს ზესტაფონი 500-ში“ (დაგეგმილი)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</si>
  <si>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</t>
  </si>
  <si>
    <t>ელექტროენერგიის სექტორის სტრატეგიული გარემოსდაცვითი ზემოქმედების შეფასება (მიმდინარებს)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</si>
  <si>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</si>
  <si>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</t>
  </si>
  <si>
    <t>ზემო სამგორის ირიგაციისა და დრენაჟის სისტემის რეაბილიტაცია. პროექტის მოსამზადებელი ეტაპი (მიმდინარეობს პროექტის მომზადებისთვის საჭირო კვლევებისა და ტექნიკური, სოციალური, გარემოსდაცვითი და ინსტიტუციონალური ასპექტების ანალიზის მომზადება)</t>
  </si>
  <si>
    <t>საქართველოს შეიარაღებული ძალების შესაძლებლობების გაძლიერება (მიმდინარეობს)</t>
  </si>
  <si>
    <r>
      <t>ხელშეკრულების ხელმოწერის თარიღი</t>
    </r>
    <r>
      <rPr>
        <b/>
        <sz val="14"/>
        <color theme="1"/>
        <rFont val="Calibri"/>
        <family val="2"/>
      </rPr>
      <t>*</t>
    </r>
  </si>
  <si>
    <t>ნაგავმზიდი მანქანებისა და მყარი ნარჩენების კონტეინერების შეძენა (მიმდინარეობს,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კონტეინერი)</t>
  </si>
  <si>
    <t>საქართველოს ტექნიკური უნივერსიტეტის სტრუქტურაში, ჰიდროტექნიკური კვლევების ლაბორატორიის ჩამოყალიბება (მიმდინარეობს)</t>
  </si>
  <si>
    <t>ქ. ქობულეთში კანალიზაციის გამწმენდი ნაგებობის მშენებლობა (მიმდინარეობს)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</si>
  <si>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</t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</si>
  <si>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</si>
  <si>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 xml:space="preserve"> - ყაზბეგის ეროვნული პარკის შექმნა;
 - კინტრიშის დაცული ტერიტორის შექმნა;
 - ალგეთის ეროვნული პარკის შექმნა;
 - ფშავ-ხევსურეთის დაცული ტერიტორიის შექმნა.
(მიმდინარეობს ტურიზმის სტრატეგიების, სამოქმედო და საინვესტიციო გეგმების შემუშავება; დაიწყო მენეჯმენტის გეგმის შემუშავება ალგეთის ეროვნული პარკისათვის; გამოცხადდა ტენდერი ფშავ-ხევსურეთის დაცული ტერიტორიების დემარკაციაზე; დაიწყო ალგეთის ეროვნული პარკის ადმინისტრაციის და ვიზიტორთა შენობის მშენებლობა; დაიწყო ყაზბეგის ეროვნული პარკის ადმინისტრაციის და ვიზიტორთა შენობის მშენებლობა; მიმდინარეობს პრომეთეს მღვიმის საგამოფენო დარბაზის მოწყობა; მიმდინარეობს დუშეთის მუნიციპალიტეტში დაცული ლანდშაფტის შექმნისათვის კანონპროექტის შემუშავება)</t>
  </si>
  <si>
    <t>02.04.2019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</si>
  <si>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</si>
  <si>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</si>
  <si>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</si>
  <si>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</si>
  <si>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თბილისი-სენაკი-ლესელიძის საავტომობილო გზის უბისა ძირულას მონაკვეთის რეკონსტრუქცია-მშენებლობა (EIB)</t>
  </si>
  <si>
    <t>თბილისი-სენაკი-ლესელიძის საავტომობილო გზის ძირულა არგვეთას მონაკვეთის რეკონსტრუქცია-მშენებლობა (JICA)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</si>
  <si>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</si>
  <si>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</si>
  <si>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</si>
  <si>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(ADB)</t>
  </si>
  <si>
    <t>მდინარე რიონზე ფოთის ხიდის მშენებლობა (EIB)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</si>
  <si>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(EIB)</t>
  </si>
  <si>
    <t>ქუთაისის წყალარინების პროექტი (EIB, EPTATF)</t>
  </si>
  <si>
    <t>15,10,2015</t>
  </si>
  <si>
    <t>15,10,2020</t>
  </si>
  <si>
    <t>2018 წლის ბიუჯეტით დამტკიცებული თანხა</t>
  </si>
  <si>
    <t>2018 წლის განმავლობაში ათვისებული თანხა (საკასო) **</t>
  </si>
  <si>
    <t>ალგეთი-სადახლოს საავტომობილო გზის მშენებლობა-მოდერნიზაცია   (დაგეგმილი)</t>
  </si>
  <si>
    <t>მდინარე რიონზე ფოთის ხიდის მშენებლობა    (დაგეგმილი)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</si>
  <si>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(დაგეგმილი)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</si>
  <si>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</si>
  <si>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</si>
  <si>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</si>
  <si>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</si>
  <si>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დარჩენილ 5კმ-ზე მოძრაობა გაიხსნება მას შემდეგ, რაც დასრულდება მონაკვეთის - ზემო ოსიაური-ჩუმათელეთის მშენებლობა);
 - ნაპირსამაგრი ნაგებობის (დაახლოებით 3.4 კმ) მშენებლობა (დასრულდა);
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</t>
  </si>
  <si>
    <t xml:space="preserve"> - დასრულდეს ენგურისჰიდროელექტროსადგურის კასკადის რეაბილიტაცია 
 რათა გაიზარდოს სუფთა განახლებადი ენერგიის ხელმისაწვდომდბა  საქართველოში;
  -  ხელი შეუწყობს  ენგურის ჰიდროელექტროსადგურების რეაბილიტაციის  შესრულებას, მათ შორის საგანგება რემონტის  განხორციელებას  მიწისქვეშა გვირაბსა თუ მილსადენზე რომელიც გაზრდის მთლიან წარმოებას;
 - უზრუნველყოფს კლიმატური პიროგებისადმი მდგრადობის გაუმჯობესებას.</t>
  </si>
  <si>
    <t xml:space="preserve">ავტობუსების (დიზელის და ელექტრო) შეძენა (დაგეგმილი). </t>
  </si>
  <si>
    <t>04.12.2017</t>
  </si>
  <si>
    <t>31.12.2023</t>
  </si>
  <si>
    <t xml:space="preserve"> - ზესტაფონი - ქუთაისის ახალი შემოვლითი გზის მშენებლობა (15.2 კმ) (დასრულდა; 14 კმ. გზის მონაკვეთი გახსნილია მოძრაობისთვის);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</t>
  </si>
  <si>
    <t xml:space="preserve">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</t>
  </si>
  <si>
    <t xml:space="preserve"> - თელავში, ყვარელში და ახმეტაში ინფრასტრუქტურის რეაბილიტაცია (მუნიციპალური და კომუნალური ინფრასტრუქტურა, ისტორიული უბნების რეაბილიტაცია) (ძირითადი სამუშაოები დასრულებულია);
 - კახეთის მასშტაბით კულტურული მემკვიდრეობის ძეგლების კეთილმოწყობა (ძირითადი სამუშაოები დასრულებულია);
 - კერძო სექტორის ხელშეწყობა ტურიზმის და სოფლის მეურნეობის სექტორში (დასრულდა)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</si>
  <si>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
</t>
  </si>
  <si>
    <t>სახელმწიფო ბიუჯეტში ასახული დონორების მხარდაჭერით დაფინანსებული პროექტები</t>
  </si>
  <si>
    <t>ქობულეთის ახალი შემოვლითი გზის მშენებლობა (დაახლოებით 32 კმ სიგრძე) (პირველი მონაკვეთი (12.4 კმ + 1.3 კმ) გახსნილია, სამშენებლო სამუშაოები დასრულდა მეორე მონაკვეთზე (18 კმ), მოძრაობა გახსნილია).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</si>
  <si>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</si>
  <si>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(მიმდინარეობს სატენდერო პროცედურები მშენებელ-კონტრაქტორის შესარჩევად).</t>
  </si>
  <si>
    <t xml:space="preserve">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</si>
  <si>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</t>
  </si>
  <si>
    <t xml:space="preserve"> - გურიის რეგიონში შერჩეული შიდასახელმწიფოებრივი გზების მონაკვეთების რეაბილიტაცია, პერიოდული და მიმდინარე მოვლა შენახვა, ტექნიკური სამუშაოები (დაგეგმილი);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(მიმდინარეობს საპროექტო და სარეაბილიტაციო  სამუშაოები);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</si>
  <si>
    <r>
      <rPr>
        <b/>
        <sz val="11"/>
        <rFont val="Franklin Gothic Book"/>
        <family val="2"/>
        <scheme val="minor"/>
      </rPr>
      <t>საქართველოს რეგიონებში საჯარო სკოლების რემონტი/რეაბილიტაცია</t>
    </r>
    <r>
      <rPr>
        <sz val="11"/>
        <rFont val="Franklin Gothic Book"/>
        <family val="2"/>
        <scheme val="minor"/>
      </rPr>
      <t xml:space="preserve">
- 58 საჯარო სკოლის სრული რეაბილიტაცია და საბუნებისმეტყველო ლაბორატორიებით აღჭურვა  შიდა და ქვემო ქართლის, სამცხე-ჯავახეთის, რაჭა-ლეჩხუმისა, კახეთის და ქვემო სვანეთის რეგიონებში (დასრულდა); 
- მიმდინარეობს 33 საჯარო სკოლის სრული რეაბილიტაცია. აქედან, 30 სკოლა მდებარეობს დასავლეთ საქართველოში, ხოლო 3 - კახეთში.
</t>
    </r>
    <r>
      <rPr>
        <b/>
        <sz val="11"/>
        <rFont val="Franklin Gothic Book"/>
        <family val="2"/>
        <scheme val="minor"/>
      </rPr>
      <t>მასწავლებელთა კვალიფიკაციის ამაღლება</t>
    </r>
    <r>
      <rPr>
        <sz val="11"/>
        <rFont val="Franklin Gothic Book"/>
        <family val="2"/>
        <scheme val="minor"/>
      </rPr>
      <t xml:space="preserve">
- ზოგადპროფესიული კურსის ფარგლებში გადამზადდა 14,846 მასწავლებელი, მათ შორის 1331 არაქართულენოვანი მასწავლებელი.
- საგნობრივი მეთოდიკის კურსის ფარგლებში გადამზადდა 11,958 მასწავლებელი, მათ შორის 1054 არაქართულენოვანი მასწავლებელი.
</t>
    </r>
    <r>
      <rPr>
        <b/>
        <sz val="11"/>
        <rFont val="Franklin Gothic Book"/>
        <family val="2"/>
        <scheme val="minor"/>
      </rPr>
      <t>სკოლის დირექტორთა კვალიფიკაციის ამაღლება</t>
    </r>
    <r>
      <rPr>
        <sz val="11"/>
        <rFont val="Franklin Gothic Book"/>
        <family val="2"/>
        <scheme val="minor"/>
      </rPr>
      <t xml:space="preserve">
- დასრულდა პროფესიული განვითარების კურსი „ლიდერობის აკადემია 1“. კურსი განკუთვნილია საჯარო სკოლის დირექტორებისათვის. კურსი 1820-მა დირექტორმა, მათ შორის 151 არაქართულენოვანი სკოლის დირექტორმა გაიარა წარმატებით.
- მიმდინარეობს პროფესიული განვითარების კურსი „ლიდერობის აკადემია 2“. კურსი განკუთვნილია დირექტორებისა და პროექტის ფასილიტატორებისთვის.
- მიმდინარეობს კურსი "ლიდერობის აკადემია 3". კურსი განკუთვნილია საჯარო სკოლის დირექტორებისა და პროექტის ფასილიტატორებისათვის. 
</t>
    </r>
    <r>
      <rPr>
        <b/>
        <sz val="11"/>
        <rFont val="Franklin Gothic Book"/>
        <family val="2"/>
        <scheme val="minor"/>
      </rPr>
      <t>უმაღლესი განათლების ხელშეწყობა ტექნიკურ დარგებში (მიმდინარეობს)</t>
    </r>
    <r>
      <rPr>
        <sz val="11"/>
        <rFont val="Franklin Gothic Book"/>
        <family val="2"/>
        <scheme val="minor"/>
      </rPr>
      <t xml:space="preserve">
განხორციელდა სან დიეგოს სახელმწიფო უნივერსიტეტის (SDSU) საქართველოს პარტნიორი უნივერსიტეტების ლაბორატორიების, აუდიტორიების სრული რეაბილიტაცია, აღჭურვა და ახალი ლაბორატორიების მოწყობა.</t>
    </r>
  </si>
  <si>
    <t>ბათუმი - ახალციხის არსებული ორზოლიანი გზის დაახლოებით 29 კმ-იან ხულო-გოდერძის მონაკვეთის რეაბილიტაცია - რეკონსტრუქცია (გაიცა სამუშაოების დაწყების ინსტრუქცია).</t>
  </si>
  <si>
    <r>
      <t>თბილისი-სენაკი-ლესელიძის საავტომობილო გზის უბისა-შორაპანის მონაკვეთის რეკონსტრუქცია-მშენებლობა</t>
    </r>
    <r>
      <rPr>
        <sz val="12"/>
        <color rgb="FFFF0000"/>
        <rFont val="Franklin Gothic Book"/>
        <family val="2"/>
        <scheme val="minor"/>
      </rPr>
      <t xml:space="preserve"> </t>
    </r>
    <r>
      <rPr>
        <sz val="12"/>
        <rFont val="Franklin Gothic Book"/>
        <family val="2"/>
        <scheme val="minor"/>
      </rPr>
      <t xml:space="preserve"> (გაფორმდა ხელშეკრულება ტენდერში გამარჯვებულ სამშენებლო კომპანიასთან).</t>
    </r>
  </si>
  <si>
    <t xml:space="preserve">   გრიგოლეთი-ქობულეთის შემოვლითი გზის მონაკვეთის მშენებლობა  (2018 წლის 3 დეკემბერს გაფორმდა ხელშეკრულება ტენდერში გამარჯვებულ სამშენებლო კომპანიასთან).</t>
  </si>
  <si>
    <t>2018  წლის 31 დეკემბრის მდგომარეობით (ათას ერთეულში)</t>
  </si>
  <si>
    <t xml:space="preserve"> - 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(მიმდინარეობს სატენდერო პროცედურები მშენებელ-კონტრაქტორის შესარჩევად).
პროექტი განხორციელდება EIB-ის თანამონაწილეობით.</t>
  </si>
  <si>
    <r>
  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</t>
    </r>
    <r>
      <rPr>
        <sz val="12"/>
        <color rgb="FFFF0000"/>
        <rFont val="Franklin Gothic Book"/>
        <family val="2"/>
        <scheme val="minor"/>
      </rPr>
      <t xml:space="preserve"> </t>
    </r>
    <r>
      <rPr>
        <sz val="12"/>
        <rFont val="Franklin Gothic Book"/>
        <family val="2"/>
        <scheme val="minor"/>
      </rPr>
      <t>(გაფორმდა ხელშეკრულება ტენდერში გამარჯვებულ სამშენებლო კომპანიასთან).</t>
    </r>
  </si>
  <si>
    <t>18.07.2020</t>
  </si>
  <si>
    <t xml:space="preserve"> - საქართველოს სხვადასხვა ქალაქსა და სოფელში ინოვაციური ჰაბებისა და ცენტრების ქსელის განვითარება (მიმდინარეობს აღნიშნული კომპონენტის რესტრუქტურირებისთვის საჭირო პროცედურები);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 (მიმდინარეობს აღნიშნული კომპონენტის რესტრუქტურირებისთვის საჭირო  პროცედურები)
 - ინდივიდუალური პირებისა და ფირმების ინოვაციური შესაძლებლობების განვითარება (მიმდინარეობს აღნიშნული კომპონენტის რესტრუქტურირებისთვის საჭირო პროცედურები).</t>
  </si>
  <si>
    <r>
      <rPr>
        <b/>
        <sz val="12"/>
        <rFont val="Franklin Gothic Book"/>
        <family val="2"/>
        <scheme val="minor"/>
      </rPr>
      <t xml:space="preserve">
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ხელშეწყობა</t>
    </r>
    <r>
      <rPr>
        <sz val="12"/>
        <rFont val="Franklin Gothic Book"/>
        <family val="2"/>
        <scheme val="minor"/>
      </rPr>
      <t xml:space="preserve">
 - მოეწყო ხეხილის 4, ბოსტნეულის 2, კენკროვანი კულტურის 3, დაფნის 1, ვერმიკომპოსტის 1, კონსერვაციული სოფლის მეურნეობის 1 და ქარსაცავის 2 სადემონსტრაციო ნაკვეთი კახეთის, შიდა ქართლის, აჭარის და სამეგრელოს რეგიონებში.  ჩატარდა 39 ტრეინინგი (თეორიული და პრაქტიკული) 2228 მონაწილესთვის, რომელთა შორისაც 1857 ინდივიდუალური პირია (რამდენმე ფერმერი დაესწრო სხვადასხვა თემატიკის ტრეინინგს).  მიმდინარეობს დამატებით 2 თაფლის სადემონსტრაციო  ნაკვეთის მოწყობა ყაზბეგსა და რაჭაში. 
- გაცემულია 336 მცირე და დიდი გრანტი. (329  პირველადი წარმოებისათვის და 7 გადამამუშავებელი საწარმოსთვის); 
- დასრულდა გორის მუნიციპალიტეტში ტირიფონის სარწყავი სისტემის გამანაწილებელის არხის რეაბილიტაცია;
- დასრულდა ძევერა-შერთულის საირიგაციო სისტემის მაგისტრალური არხის და შიდა ქსელების რეაბილიცია; 
- დაწყებულია  დეტალური პროექტის მომზადება სარწყავი სისტემის გამანაწილებლების და  ქსელის რეაბილიტაციისთვის (ქვემო ალაზანი, სალთვისი);
- მიმდინარეობს ქვემო ალაზნის, სარწყავი სისტემის გამანაწილებელი არხის რეაბილიტაცია/მოდერნიზაციისათვის ხელშეკრულების მომზადება.
-  შიდა ქართლში (ქარელი, გორი) და სამეგრელოში (ხობი) სოფლის მცირე ინფრასტრუქტურის (გზები და ხიდები) რეაბილიტაციისთვის დაწყებულია სამშენებლო სამუშაოები;
- დასრულდა ლაგოდეხის მუნიციპალიტეტის, სოფელ გიორგეთში,  შიდასასოფლო გზის რეაბილიტაცია;
- გამოცხადებულია ტენდერი დეტალური პროექტის მოსამზადებლად  შიდა ქართლში, გორის მუნიციპალიტეტში, მდინარე ჭარებულას ლანდშაფტის აღდგენის გეგმისთვის.
- მზადდება შიდა ქართლში, გორის მუნიციპალიტეტში, სოფელ საქაშეთში ლანდშაფტის აღდგენის, კერძოდ ქარსაცავის მოწყობის გეგმა. 
</t>
    </r>
  </si>
  <si>
    <t>საქართველოში მემცენარეობის (მეთხილეობის ჩათვლით) და მეღვინეობის შერჩეულ ღირებულებათა ჯაჭვის განვითარება (მიმდინარეობს ხელშეკრულების გაუქმებისთვის საჭირო პროცედურები).</t>
  </si>
  <si>
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მიმდინარეობს სამართლებრივი პროცედურები);
 - საავტომობილო გზების დეპარტამენტის ინსტიტუციონალური განვითარება (დაგეგმილი);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(დაგეგმილი).</t>
  </si>
  <si>
    <t xml:space="preserve"> - სამტრედია - გრიგოლეთის მონაკვეთზე (დაახლოებით 52 კმ) ახალი ოთხზოლიანი ავტომაგისტრალის მშენებლობა (სამშენებლო სამუშაოები მიმდინარეობს II, III და IV ლოტის ფარგლებში; ლოტი I -დარჩენილ სამუშაოებზე  ხელშეკრულება გაფორმდა ტენდერში გამარჯვებულ სამშენებლო კომპანიასთან, დაიწყო სამობილიზაციო და სამშენებლო სამუშაოები);
 - ფოთი-გრიგოლეთის მონაკვეთი (დეტალური პროექტის მომზადების სამუშაოები დასრულდა).</t>
  </si>
  <si>
    <t>თბილისი-სენაკი-ლესელიძის საავტომობილო გზის შორაპანი-არგვეთას მონაკვეთის რეკონსტრუქცია-მშენებლობა  (მოსამზადებელი და საპროექტო სამუშაოები დაიწყო).</t>
  </si>
  <si>
    <t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განხორციელდება დამატებით 12 გზის რეაბილიტაცია (მთლიანობაში დაახლოებით 80 კმ), ხელშეკრულებები გაფორმდა 6 ს/გზის მონაკვეთის რეაბილიტაციისთვის, 2 ხელშეკრულება გაფორმების პროცესშია, 6 გზის რეაბილიტაციისთვის მიმდინარეობს სატენდერო პროცედურები მშენებელ-კონტრაქტორთა შესარჩევად).</t>
  </si>
  <si>
    <t xml:space="preserve">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- მიმდინარეობს სამშენებლო სამუშაოები; მოლითი-ჩუმათელეთის გზის მონაკვეთის რეაბილიტაცია - ხელშეკრულება გაფორმდა ტენდერში გამარჯვებულ სამშენებლო კომპანიასთან).</t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</si>
  <si>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(მოსამზადებელი და საპროექტო სამუშაოები დაიწყო).</t>
  </si>
  <si>
    <r>
  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</t>
    </r>
    <r>
      <rPr>
        <b/>
        <sz val="12"/>
        <rFont val="Franklin Gothic Book"/>
        <family val="2"/>
        <scheme val="minor"/>
      </rPr>
      <t>;
 -</t>
    </r>
    <r>
      <rPr>
        <sz val="12"/>
        <rFont val="Franklin Gothic Book"/>
        <family val="2"/>
        <scheme val="minor"/>
      </rPr>
      <t xml:space="preserve">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  </r>
  </si>
  <si>
    <t xml:space="preserve">
მესტიაში წყალმომარაგების სათავე ნაგებობის მშენებლობა (დასრულდა), წყალმომარაგებისა და კანალიზაციის ქსელების მშენებლობა - რეაბილიტაცია (სამშენებლო სამუშაოები დასრულდა); წყლის გამწმენდი ნაგებობის, ახალი რეზერვუარების მშენებლობა და არსებული რეზერვუარის რეაბილიტაცია (მიმდინარეობს პროექტირება-მშენებლობა); 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 და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(მიმდინარეობს სამშენებლო სამუშაოები);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საპროექტო სამუშაოების შეთანხმება);
- ურეკში წყალმომარაგებისა და კანალიზაციის სისტემების მშენებლობა (მიმდინარეობს სამშენებლო სამუშაოები);
- ურეკში კანალიზაციის გამწმენდი ნაგებობის მშენებლობა (მიმდინარეობს შენახვის პროცედურები);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სამობილიზაციო სამუშაოები)
- აბაშის მაგისტრალური ხაზის მშენებლობა (მიმდინარეობს სამშენებლო სამუშაოები)
- თელავის წყალმომარაგების სისტემის მშენებლობა (მიმდინარეობს ტენდერის ხელახლა გამოცხადების პროცედურები)
- გუდაურის წყლისა და წყალარინების სისტემების მშენებლობა (მიმდინარეობს სატენდერო პროცედურები) 
- გუდაურის წყალარინების გამწმენდი ნაგებობების მშენებლობა (მიმდინარეობს სატენდერო პროცედურები)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</si>
</sst>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dd\.mm\.yyyy"/>
    <numFmt numFmtId="166" formatCode="#,##0.00000"/>
  </numFmts>
  <fonts count="25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165" fontId="5" fillId="0" borderId="21" xfId="1" applyNumberFormat="1" applyFont="1" applyFill="1" applyBorder="1" applyAlignment="1">
      <alignment horizontal="center" vertical="center" wrapText="1"/>
    </xf>
    <xf numFmtId="164" fontId="5" fillId="0" borderId="21" xfId="1" applyNumberFormat="1" applyFont="1" applyFill="1" applyBorder="1" applyAlignment="1">
      <alignment horizontal="center" vertical="center"/>
    </xf>
    <xf numFmtId="164" fontId="5" fillId="0" borderId="21" xfId="1" applyNumberFormat="1" applyFont="1" applyFill="1" applyBorder="1" applyAlignment="1">
      <alignment horizontal="center" vertical="center" wrapText="1"/>
    </xf>
    <xf numFmtId="165" fontId="5" fillId="2" borderId="24" xfId="1" applyNumberFormat="1" applyFont="1" applyFill="1" applyBorder="1" applyAlignment="1">
      <alignment horizontal="center" vertical="center" wrapText="1"/>
    </xf>
    <xf numFmtId="164" fontId="5" fillId="0" borderId="24" xfId="1" quotePrefix="1" applyNumberFormat="1" applyFont="1" applyFill="1" applyBorder="1" applyAlignment="1">
      <alignment horizontal="center" vertical="center"/>
    </xf>
    <xf numFmtId="164" fontId="5" fillId="2" borderId="24" xfId="1" applyNumberFormat="1" applyFont="1" applyFill="1" applyBorder="1" applyAlignment="1">
      <alignment horizontal="center" vertical="center"/>
    </xf>
    <xf numFmtId="43" fontId="5" fillId="0" borderId="24" xfId="15" applyFont="1" applyFill="1" applyBorder="1" applyAlignment="1">
      <alignment horizontal="center" vertical="center"/>
    </xf>
    <xf numFmtId="165" fontId="5" fillId="0" borderId="27" xfId="1" applyNumberFormat="1" applyFont="1" applyFill="1" applyBorder="1" applyAlignment="1">
      <alignment horizontal="center" vertical="center" wrapText="1"/>
    </xf>
    <xf numFmtId="164" fontId="5" fillId="0" borderId="27" xfId="1" applyNumberFormat="1" applyFont="1" applyFill="1" applyBorder="1" applyAlignment="1">
      <alignment horizontal="center" vertical="center"/>
    </xf>
    <xf numFmtId="43" fontId="5" fillId="0" borderId="27" xfId="15" applyFont="1" applyFill="1" applyBorder="1" applyAlignment="1">
      <alignment horizontal="center" vertical="center"/>
    </xf>
    <xf numFmtId="164" fontId="5" fillId="5" borderId="27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horizontal="center" vertical="center"/>
    </xf>
    <xf numFmtId="165" fontId="5" fillId="0" borderId="24" xfId="1" applyNumberFormat="1" applyFont="1" applyFill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wrapText="1"/>
    </xf>
    <xf numFmtId="164" fontId="16" fillId="0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1" xfId="1" applyNumberFormat="1" applyFont="1" applyFill="1" applyBorder="1" applyAlignment="1">
      <alignment horizontal="center" vertical="center"/>
    </xf>
    <xf numFmtId="164" fontId="6" fillId="0" borderId="24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7" fillId="2" borderId="24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/>
    </xf>
    <xf numFmtId="164" fontId="11" fillId="2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7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49" fontId="6" fillId="0" borderId="37" xfId="1" applyNumberFormat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2" xfId="1" applyNumberFormat="1" applyFont="1" applyFill="1" applyBorder="1" applyAlignment="1">
      <alignment horizontal="left" vertical="center" wrapText="1"/>
    </xf>
    <xf numFmtId="49" fontId="6" fillId="0" borderId="25" xfId="1" applyNumberFormat="1" applyFont="1" applyFill="1" applyBorder="1" applyAlignment="1">
      <alignment horizontal="left" vertical="center" wrapText="1"/>
    </xf>
    <xf numFmtId="49" fontId="6" fillId="0" borderId="28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horizontal="left" vertical="center" wrapText="1"/>
    </xf>
    <xf numFmtId="0" fontId="6" fillId="0" borderId="23" xfId="4" applyFont="1" applyFill="1" applyBorder="1" applyAlignment="1">
      <alignment horizontal="left" vertical="center" wrapText="1"/>
    </xf>
    <xf numFmtId="0" fontId="6" fillId="0" borderId="26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0" fontId="6" fillId="0" borderId="17" xfId="1" applyFont="1" applyFill="1" applyBorder="1" applyAlignment="1">
      <alignment horizontal="left" vertical="center" wrapText="1"/>
    </xf>
    <xf numFmtId="4" fontId="19" fillId="0" borderId="0" xfId="1" applyNumberFormat="1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23" fillId="0" borderId="18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24" fillId="3" borderId="4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165" fontId="6" fillId="0" borderId="32" xfId="1" applyNumberFormat="1" applyFont="1" applyFill="1" applyBorder="1" applyAlignment="1">
      <alignment horizontal="center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4" xfId="1" applyNumberFormat="1" applyFont="1" applyFill="1" applyBorder="1" applyAlignment="1">
      <alignment horizontal="center" vertical="center" wrapText="1"/>
    </xf>
    <xf numFmtId="164" fontId="6" fillId="0" borderId="32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4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5" fillId="0" borderId="24" xfId="1" applyNumberFormat="1" applyFont="1" applyFill="1" applyBorder="1" applyAlignment="1">
      <alignment horizontal="center" vertical="center"/>
    </xf>
    <xf numFmtId="164" fontId="6" fillId="0" borderId="24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23" fillId="0" borderId="29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165" fontId="5" fillId="0" borderId="32" xfId="1" applyNumberFormat="1" applyFont="1" applyFill="1" applyBorder="1" applyAlignment="1">
      <alignment horizontal="center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center" vertical="center"/>
    </xf>
    <xf numFmtId="0" fontId="6" fillId="0" borderId="23" xfId="4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5" xfId="1" applyNumberFormat="1" applyFont="1" applyFill="1" applyBorder="1" applyAlignment="1">
      <alignment horizontal="left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4" xfId="1" applyNumberFormat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0" fontId="13" fillId="4" borderId="9" xfId="1" applyNumberFormat="1" applyFont="1" applyFill="1" applyBorder="1" applyAlignment="1">
      <alignment horizontal="center" vertical="center" wrapText="1"/>
    </xf>
    <xf numFmtId="0" fontId="13" fillId="4" borderId="6" xfId="1" applyNumberFormat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textRotation="90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left" vertical="center" wrapText="1"/>
    </xf>
    <xf numFmtId="0" fontId="6" fillId="2" borderId="36" xfId="1" applyFont="1" applyFill="1" applyBorder="1" applyAlignment="1">
      <alignment horizontal="left" vertical="center" wrapText="1"/>
    </xf>
    <xf numFmtId="164" fontId="21" fillId="0" borderId="32" xfId="1" applyNumberFormat="1" applyFont="1" applyFill="1" applyBorder="1" applyAlignment="1">
      <alignment horizontal="center" vertical="center"/>
    </xf>
    <xf numFmtId="164" fontId="21" fillId="0" borderId="34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97"/>
  <sheetViews>
    <sheetView tabSelected="1" view="pageBreakPreview" zoomScale="60" zoomScaleNormal="60" zoomScalePageLayoutView="20" workbookViewId="0">
      <selection activeCell="Q83" sqref="Q83"/>
    </sheetView>
  </sheetViews>
  <sheetFormatPr defaultColWidth="9.33203125" defaultRowHeight="16.5"/>
  <cols>
    <col min="1" max="1" width="52.88671875" style="14" customWidth="1"/>
    <col min="2" max="2" width="13.6640625" style="6" customWidth="1"/>
    <col min="3" max="3" width="13.6640625" style="3" customWidth="1"/>
    <col min="4" max="6" width="15.44140625" style="1" customWidth="1"/>
    <col min="7" max="7" width="16.21875" style="5" customWidth="1"/>
    <col min="8" max="8" width="13.44140625" style="1" customWidth="1"/>
    <col min="9" max="9" width="16.21875" style="1" customWidth="1"/>
    <col min="10" max="10" width="13.77734375" style="1" customWidth="1"/>
    <col min="11" max="11" width="16.21875" style="5" customWidth="1"/>
    <col min="12" max="12" width="13.33203125" style="1" customWidth="1"/>
    <col min="13" max="13" width="28.77734375" style="5" hidden="1" customWidth="1"/>
    <col min="14" max="14" width="83.109375" style="17" customWidth="1"/>
    <col min="15" max="15" width="9.33203125" style="1"/>
    <col min="16" max="16" width="19" style="1" customWidth="1"/>
    <col min="17" max="16384" width="9.33203125" style="1"/>
  </cols>
  <sheetData>
    <row r="1" spans="1:14" ht="6.75" customHeight="1">
      <c r="B1" s="16"/>
      <c r="C1" s="16"/>
      <c r="D1" s="14"/>
      <c r="E1" s="14"/>
      <c r="F1" s="14"/>
      <c r="H1" s="14"/>
      <c r="I1" s="14"/>
      <c r="J1" s="14"/>
      <c r="L1" s="14"/>
      <c r="M1" s="14"/>
    </row>
    <row r="2" spans="1:14" s="7" customFormat="1" ht="27" customHeight="1">
      <c r="A2" s="129" t="s">
        <v>152</v>
      </c>
      <c r="B2" s="22"/>
      <c r="C2" s="22"/>
      <c r="D2" s="21"/>
      <c r="E2" s="21"/>
      <c r="F2" s="21"/>
      <c r="G2" s="21"/>
      <c r="H2" s="9"/>
      <c r="I2" s="21"/>
      <c r="J2" s="21"/>
      <c r="K2" s="23"/>
      <c r="L2" s="21"/>
      <c r="M2" s="21"/>
      <c r="N2" s="119"/>
    </row>
    <row r="3" spans="1:14" ht="27" customHeight="1" thickBot="1">
      <c r="A3" s="130" t="s">
        <v>163</v>
      </c>
      <c r="B3" s="24"/>
      <c r="C3" s="24"/>
      <c r="D3" s="25"/>
      <c r="E3" s="25"/>
      <c r="F3" s="25"/>
      <c r="G3" s="25"/>
      <c r="H3" s="95"/>
      <c r="I3" s="25"/>
      <c r="J3" s="25"/>
      <c r="K3" s="25"/>
      <c r="L3" s="25"/>
      <c r="M3" s="25"/>
    </row>
    <row r="4" spans="1:14" s="7" customFormat="1" ht="71.45" customHeight="1">
      <c r="A4" s="227" t="s">
        <v>10</v>
      </c>
      <c r="B4" s="229" t="s">
        <v>111</v>
      </c>
      <c r="C4" s="229" t="s">
        <v>47</v>
      </c>
      <c r="D4" s="221" t="s">
        <v>38</v>
      </c>
      <c r="E4" s="221"/>
      <c r="F4" s="221"/>
      <c r="G4" s="231" t="s">
        <v>134</v>
      </c>
      <c r="H4" s="231"/>
      <c r="I4" s="221" t="s">
        <v>135</v>
      </c>
      <c r="J4" s="221"/>
      <c r="K4" s="221" t="s">
        <v>49</v>
      </c>
      <c r="L4" s="221"/>
      <c r="M4" s="238" t="s">
        <v>0</v>
      </c>
      <c r="N4" s="240" t="s">
        <v>37</v>
      </c>
    </row>
    <row r="5" spans="1:14" s="7" customFormat="1" ht="58.15" customHeight="1" thickBot="1">
      <c r="A5" s="228"/>
      <c r="B5" s="230"/>
      <c r="C5" s="230"/>
      <c r="D5" s="220" t="s">
        <v>34</v>
      </c>
      <c r="E5" s="220"/>
      <c r="F5" s="220"/>
      <c r="G5" s="232" t="s">
        <v>44</v>
      </c>
      <c r="H5" s="232"/>
      <c r="I5" s="220" t="s">
        <v>44</v>
      </c>
      <c r="J5" s="220"/>
      <c r="K5" s="220" t="s">
        <v>44</v>
      </c>
      <c r="L5" s="220"/>
      <c r="M5" s="239"/>
      <c r="N5" s="241"/>
    </row>
    <row r="6" spans="1:14" ht="30.75" customHeight="1" thickBot="1">
      <c r="A6" s="131"/>
      <c r="B6" s="26"/>
      <c r="C6" s="26"/>
      <c r="D6" s="27" t="s">
        <v>26</v>
      </c>
      <c r="E6" s="27" t="s">
        <v>20</v>
      </c>
      <c r="F6" s="27" t="s">
        <v>21</v>
      </c>
      <c r="G6" s="27" t="s">
        <v>20</v>
      </c>
      <c r="H6" s="96" t="s">
        <v>21</v>
      </c>
      <c r="I6" s="27" t="s">
        <v>20</v>
      </c>
      <c r="J6" s="28" t="s">
        <v>21</v>
      </c>
      <c r="K6" s="27" t="s">
        <v>20</v>
      </c>
      <c r="L6" s="27" t="s">
        <v>21</v>
      </c>
      <c r="M6" s="29"/>
      <c r="N6" s="120"/>
    </row>
    <row r="7" spans="1:14" s="8" customFormat="1" ht="36.75" customHeight="1" thickBot="1">
      <c r="A7" s="224" t="s">
        <v>13</v>
      </c>
      <c r="B7" s="225"/>
      <c r="C7" s="225"/>
      <c r="D7" s="225"/>
      <c r="E7" s="225"/>
      <c r="F7" s="226"/>
      <c r="G7" s="30">
        <f>SUM(G8:G35)</f>
        <v>526750</v>
      </c>
      <c r="H7" s="97">
        <f t="shared" ref="H7:L7" si="0">SUM(H8:H35)</f>
        <v>4750</v>
      </c>
      <c r="I7" s="30">
        <f t="shared" si="0"/>
        <v>587485.65899000014</v>
      </c>
      <c r="J7" s="30">
        <f t="shared" si="0"/>
        <v>4734.7963099999997</v>
      </c>
      <c r="K7" s="30">
        <f t="shared" si="0"/>
        <v>2002361.85519</v>
      </c>
      <c r="L7" s="30">
        <f t="shared" si="0"/>
        <v>30995.849340000001</v>
      </c>
      <c r="M7" s="31"/>
      <c r="N7" s="121"/>
    </row>
    <row r="8" spans="1:14" ht="75.599999999999994" customHeight="1">
      <c r="A8" s="216" t="s">
        <v>35</v>
      </c>
      <c r="B8" s="237">
        <v>41431</v>
      </c>
      <c r="C8" s="217">
        <v>43524</v>
      </c>
      <c r="D8" s="69" t="s">
        <v>24</v>
      </c>
      <c r="E8" s="69">
        <v>24500</v>
      </c>
      <c r="F8" s="197"/>
      <c r="G8" s="197">
        <v>16000</v>
      </c>
      <c r="H8" s="203"/>
      <c r="I8" s="197">
        <v>17737.417119999998</v>
      </c>
      <c r="J8" s="219"/>
      <c r="K8" s="197">
        <f>131121.86644+I8</f>
        <v>148859.28356000001</v>
      </c>
      <c r="L8" s="197"/>
      <c r="M8" s="215" t="s">
        <v>42</v>
      </c>
      <c r="N8" s="212" t="s">
        <v>143</v>
      </c>
    </row>
    <row r="9" spans="1:14" ht="99" customHeight="1" thickBot="1">
      <c r="A9" s="210"/>
      <c r="B9" s="187"/>
      <c r="C9" s="218"/>
      <c r="D9" s="68" t="s">
        <v>25</v>
      </c>
      <c r="E9" s="68">
        <v>38000</v>
      </c>
      <c r="F9" s="189"/>
      <c r="G9" s="189"/>
      <c r="H9" s="204"/>
      <c r="I9" s="189"/>
      <c r="J9" s="188"/>
      <c r="K9" s="189"/>
      <c r="L9" s="189"/>
      <c r="M9" s="214"/>
      <c r="N9" s="192"/>
    </row>
    <row r="10" spans="1:14" s="10" customFormat="1" ht="74.45" customHeight="1">
      <c r="A10" s="210" t="s">
        <v>66</v>
      </c>
      <c r="B10" s="187">
        <v>42410</v>
      </c>
      <c r="C10" s="187">
        <v>44196</v>
      </c>
      <c r="D10" s="68" t="s">
        <v>25</v>
      </c>
      <c r="E10" s="68">
        <v>140000</v>
      </c>
      <c r="F10" s="68"/>
      <c r="G10" s="189">
        <v>48900</v>
      </c>
      <c r="H10" s="204"/>
      <c r="I10" s="189">
        <v>51973.542589999997</v>
      </c>
      <c r="J10" s="188"/>
      <c r="K10" s="189">
        <f>50602.69427+I10</f>
        <v>102576.23686</v>
      </c>
      <c r="L10" s="189"/>
      <c r="M10" s="70"/>
      <c r="N10" s="212" t="s">
        <v>170</v>
      </c>
    </row>
    <row r="11" spans="1:14" s="10" customFormat="1" ht="93.75" customHeight="1">
      <c r="A11" s="210"/>
      <c r="B11" s="187"/>
      <c r="C11" s="187"/>
      <c r="D11" s="68" t="s">
        <v>31</v>
      </c>
      <c r="E11" s="68">
        <v>49450</v>
      </c>
      <c r="F11" s="68"/>
      <c r="G11" s="189"/>
      <c r="H11" s="204"/>
      <c r="I11" s="189"/>
      <c r="J11" s="188"/>
      <c r="K11" s="189"/>
      <c r="L11" s="189"/>
      <c r="M11" s="70"/>
      <c r="N11" s="192"/>
    </row>
    <row r="12" spans="1:14" ht="32.25" customHeight="1">
      <c r="A12" s="210" t="s">
        <v>29</v>
      </c>
      <c r="B12" s="187">
        <v>40115</v>
      </c>
      <c r="C12" s="187">
        <v>43737</v>
      </c>
      <c r="D12" s="68" t="s">
        <v>24</v>
      </c>
      <c r="E12" s="68">
        <v>75892</v>
      </c>
      <c r="F12" s="189"/>
      <c r="G12" s="189">
        <v>24475</v>
      </c>
      <c r="H12" s="204"/>
      <c r="I12" s="189">
        <v>41178.914969999998</v>
      </c>
      <c r="J12" s="189"/>
      <c r="K12" s="189">
        <f>331650.9472+I12</f>
        <v>372829.86216999998</v>
      </c>
      <c r="L12" s="189"/>
      <c r="M12" s="214" t="s">
        <v>42</v>
      </c>
      <c r="N12" s="213" t="s">
        <v>153</v>
      </c>
    </row>
    <row r="13" spans="1:14" ht="42.75" customHeight="1">
      <c r="A13" s="210"/>
      <c r="B13" s="187"/>
      <c r="C13" s="187"/>
      <c r="D13" s="68" t="s">
        <v>28</v>
      </c>
      <c r="E13" s="68">
        <v>140000</v>
      </c>
      <c r="F13" s="189"/>
      <c r="G13" s="189"/>
      <c r="H13" s="204"/>
      <c r="I13" s="189"/>
      <c r="J13" s="189"/>
      <c r="K13" s="189"/>
      <c r="L13" s="189"/>
      <c r="M13" s="214"/>
      <c r="N13" s="192"/>
    </row>
    <row r="14" spans="1:14" ht="36.6" customHeight="1">
      <c r="A14" s="222" t="s">
        <v>81</v>
      </c>
      <c r="B14" s="174">
        <v>42898</v>
      </c>
      <c r="C14" s="174">
        <v>45107</v>
      </c>
      <c r="D14" s="76" t="s">
        <v>31</v>
      </c>
      <c r="E14" s="76">
        <v>108190</v>
      </c>
      <c r="F14" s="198"/>
      <c r="G14" s="198">
        <v>22500</v>
      </c>
      <c r="H14" s="177"/>
      <c r="I14" s="177">
        <v>23120.640029999999</v>
      </c>
      <c r="J14" s="198"/>
      <c r="K14" s="198">
        <f>37967.75632+I14</f>
        <v>61088.396349999995</v>
      </c>
      <c r="L14" s="198"/>
      <c r="M14" s="70"/>
      <c r="N14" s="213" t="s">
        <v>156</v>
      </c>
    </row>
    <row r="15" spans="1:14" s="14" customFormat="1" ht="46.9" customHeight="1">
      <c r="A15" s="223"/>
      <c r="B15" s="176"/>
      <c r="C15" s="176"/>
      <c r="D15" s="76" t="s">
        <v>25</v>
      </c>
      <c r="E15" s="76">
        <v>114000</v>
      </c>
      <c r="F15" s="200"/>
      <c r="G15" s="200"/>
      <c r="H15" s="179"/>
      <c r="I15" s="179"/>
      <c r="J15" s="200"/>
      <c r="K15" s="200"/>
      <c r="L15" s="200"/>
      <c r="M15" s="78"/>
      <c r="N15" s="192"/>
    </row>
    <row r="16" spans="1:14" ht="134.25" customHeight="1">
      <c r="A16" s="132" t="s">
        <v>32</v>
      </c>
      <c r="B16" s="67">
        <v>40163</v>
      </c>
      <c r="C16" s="36">
        <v>45101</v>
      </c>
      <c r="D16" s="68" t="s">
        <v>30</v>
      </c>
      <c r="E16" s="68">
        <v>22132000</v>
      </c>
      <c r="F16" s="68"/>
      <c r="G16" s="89">
        <v>1600</v>
      </c>
      <c r="H16" s="76"/>
      <c r="I16" s="147">
        <v>6591.71839</v>
      </c>
      <c r="J16" s="147"/>
      <c r="K16" s="147">
        <f>388808.33322+I16</f>
        <v>395400.05160999997</v>
      </c>
      <c r="L16" s="147"/>
      <c r="M16" s="70" t="s">
        <v>42</v>
      </c>
      <c r="N16" s="74" t="s">
        <v>148</v>
      </c>
    </row>
    <row r="17" spans="1:14" ht="129.75" customHeight="1">
      <c r="A17" s="132" t="s">
        <v>57</v>
      </c>
      <c r="B17" s="67">
        <v>41040</v>
      </c>
      <c r="C17" s="67">
        <v>43797</v>
      </c>
      <c r="D17" s="68" t="s">
        <v>31</v>
      </c>
      <c r="E17" s="68">
        <v>200000</v>
      </c>
      <c r="F17" s="68">
        <v>20000</v>
      </c>
      <c r="G17" s="89">
        <v>56100</v>
      </c>
      <c r="H17" s="76">
        <v>4750</v>
      </c>
      <c r="I17" s="147">
        <v>34739.840830000001</v>
      </c>
      <c r="J17" s="147">
        <v>4734.7963099999997</v>
      </c>
      <c r="K17" s="147">
        <f>264958.95083+I17</f>
        <v>299698.79165999999</v>
      </c>
      <c r="L17" s="147">
        <f>26261.05303+J17</f>
        <v>30995.849340000001</v>
      </c>
      <c r="M17" s="70" t="s">
        <v>42</v>
      </c>
      <c r="N17" s="156" t="s">
        <v>171</v>
      </c>
    </row>
    <row r="18" spans="1:14" s="14" customFormat="1" ht="45.6" customHeight="1">
      <c r="A18" s="233" t="s">
        <v>139</v>
      </c>
      <c r="B18" s="112" t="s">
        <v>146</v>
      </c>
      <c r="C18" s="112" t="s">
        <v>147</v>
      </c>
      <c r="D18" s="111" t="s">
        <v>31</v>
      </c>
      <c r="E18" s="111">
        <v>16900</v>
      </c>
      <c r="F18" s="103"/>
      <c r="G18" s="198">
        <v>130</v>
      </c>
      <c r="H18" s="177"/>
      <c r="I18" s="177">
        <v>125.74445</v>
      </c>
      <c r="J18" s="235"/>
      <c r="K18" s="177">
        <f>I18</f>
        <v>125.74445</v>
      </c>
      <c r="L18" s="198"/>
      <c r="M18" s="104"/>
      <c r="N18" s="213" t="s">
        <v>164</v>
      </c>
    </row>
    <row r="19" spans="1:14" s="14" customFormat="1" ht="66.75" customHeight="1">
      <c r="A19" s="234"/>
      <c r="B19" s="112"/>
      <c r="C19" s="112"/>
      <c r="D19" s="111"/>
      <c r="E19" s="111"/>
      <c r="F19" s="82"/>
      <c r="G19" s="200"/>
      <c r="H19" s="179"/>
      <c r="I19" s="179"/>
      <c r="J19" s="236"/>
      <c r="K19" s="179"/>
      <c r="L19" s="200"/>
      <c r="M19" s="94"/>
      <c r="N19" s="192"/>
    </row>
    <row r="20" spans="1:14" s="14" customFormat="1" ht="75.75" customHeight="1">
      <c r="A20" s="132" t="s">
        <v>122</v>
      </c>
      <c r="B20" s="166">
        <v>43378</v>
      </c>
      <c r="C20" s="166">
        <v>45657</v>
      </c>
      <c r="D20" s="162" t="s">
        <v>31</v>
      </c>
      <c r="E20" s="162">
        <v>255.297</v>
      </c>
      <c r="F20" s="82"/>
      <c r="G20" s="89">
        <v>66150</v>
      </c>
      <c r="H20" s="82"/>
      <c r="I20" s="158">
        <v>113756.3746</v>
      </c>
      <c r="J20" s="82"/>
      <c r="K20" s="89">
        <f>I20</f>
        <v>113756.3746</v>
      </c>
      <c r="L20" s="82"/>
      <c r="M20" s="94"/>
      <c r="N20" s="154" t="s">
        <v>165</v>
      </c>
    </row>
    <row r="21" spans="1:14" s="14" customFormat="1" ht="72" customHeight="1">
      <c r="A21" s="132" t="s">
        <v>123</v>
      </c>
      <c r="B21" s="174">
        <v>42652</v>
      </c>
      <c r="C21" s="174">
        <v>44539</v>
      </c>
      <c r="D21" s="177" t="s">
        <v>31</v>
      </c>
      <c r="E21" s="177">
        <v>250</v>
      </c>
      <c r="F21" s="82"/>
      <c r="G21" s="89">
        <v>205795</v>
      </c>
      <c r="H21" s="82"/>
      <c r="I21" s="158">
        <v>201682.00984000001</v>
      </c>
      <c r="J21" s="82"/>
      <c r="K21" s="158">
        <f t="shared" ref="K21:K23" si="1">I21</f>
        <v>201682.00984000001</v>
      </c>
      <c r="L21" s="82"/>
      <c r="M21" s="94"/>
      <c r="N21" s="154" t="s">
        <v>161</v>
      </c>
    </row>
    <row r="22" spans="1:14" s="14" customFormat="1" ht="55.5" customHeight="1">
      <c r="A22" s="172" t="s">
        <v>124</v>
      </c>
      <c r="B22" s="175"/>
      <c r="C22" s="175"/>
      <c r="D22" s="178"/>
      <c r="E22" s="178"/>
      <c r="F22" s="82"/>
      <c r="G22" s="89"/>
      <c r="H22" s="82"/>
      <c r="I22" s="82"/>
      <c r="J22" s="82"/>
      <c r="K22" s="158">
        <f t="shared" si="1"/>
        <v>0</v>
      </c>
      <c r="L22" s="82"/>
      <c r="M22" s="94"/>
      <c r="N22" s="173" t="s">
        <v>172</v>
      </c>
    </row>
    <row r="23" spans="1:14" s="14" customFormat="1" ht="90" customHeight="1">
      <c r="A23" s="132" t="s">
        <v>125</v>
      </c>
      <c r="B23" s="176"/>
      <c r="C23" s="176"/>
      <c r="D23" s="179"/>
      <c r="E23" s="179"/>
      <c r="F23" s="82"/>
      <c r="G23" s="89">
        <v>20800</v>
      </c>
      <c r="H23" s="82"/>
      <c r="I23" s="158">
        <v>20357.40381</v>
      </c>
      <c r="J23" s="82"/>
      <c r="K23" s="158">
        <f t="shared" si="1"/>
        <v>20357.40381</v>
      </c>
      <c r="L23" s="82"/>
      <c r="M23" s="94"/>
      <c r="N23" s="154" t="s">
        <v>162</v>
      </c>
    </row>
    <row r="24" spans="1:14" s="14" customFormat="1" ht="74.25" customHeight="1">
      <c r="A24" s="172" t="s">
        <v>126</v>
      </c>
      <c r="B24" s="83"/>
      <c r="C24" s="83"/>
      <c r="D24" s="82"/>
      <c r="E24" s="82"/>
      <c r="F24" s="82"/>
      <c r="G24" s="89"/>
      <c r="H24" s="82"/>
      <c r="I24" s="82"/>
      <c r="J24" s="82"/>
      <c r="K24" s="89"/>
      <c r="L24" s="82"/>
      <c r="M24" s="94"/>
      <c r="N24" s="114" t="s">
        <v>154</v>
      </c>
    </row>
    <row r="25" spans="1:14" s="14" customFormat="1" ht="46.5" customHeight="1">
      <c r="A25" s="172" t="s">
        <v>127</v>
      </c>
      <c r="B25" s="83"/>
      <c r="C25" s="83"/>
      <c r="D25" s="82"/>
      <c r="E25" s="82"/>
      <c r="F25" s="82"/>
      <c r="G25" s="89"/>
      <c r="H25" s="82"/>
      <c r="I25" s="82"/>
      <c r="J25" s="82"/>
      <c r="K25" s="89"/>
      <c r="L25" s="82"/>
      <c r="M25" s="94"/>
      <c r="N25" s="114" t="s">
        <v>136</v>
      </c>
    </row>
    <row r="26" spans="1:14" s="14" customFormat="1" ht="71.25" customHeight="1">
      <c r="A26" s="172" t="s">
        <v>128</v>
      </c>
      <c r="B26" s="83"/>
      <c r="C26" s="83"/>
      <c r="D26" s="82"/>
      <c r="E26" s="82"/>
      <c r="F26" s="82"/>
      <c r="G26" s="89"/>
      <c r="H26" s="82"/>
      <c r="I26" s="82"/>
      <c r="J26" s="82"/>
      <c r="K26" s="89"/>
      <c r="L26" s="82"/>
      <c r="M26" s="94"/>
      <c r="N26" s="114" t="s">
        <v>155</v>
      </c>
    </row>
    <row r="27" spans="1:14" s="14" customFormat="1" ht="63.75" customHeight="1">
      <c r="A27" s="172" t="s">
        <v>129</v>
      </c>
      <c r="B27" s="83"/>
      <c r="C27" s="83"/>
      <c r="D27" s="82"/>
      <c r="E27" s="82"/>
      <c r="F27" s="82"/>
      <c r="G27" s="89"/>
      <c r="H27" s="82"/>
      <c r="I27" s="82"/>
      <c r="J27" s="82"/>
      <c r="K27" s="89"/>
      <c r="L27" s="82"/>
      <c r="M27" s="94"/>
      <c r="N27" s="114" t="s">
        <v>137</v>
      </c>
    </row>
    <row r="28" spans="1:14" s="14" customFormat="1" ht="52.5" customHeight="1">
      <c r="A28" s="172" t="s">
        <v>130</v>
      </c>
      <c r="B28" s="83"/>
      <c r="C28" s="83"/>
      <c r="D28" s="82"/>
      <c r="E28" s="82"/>
      <c r="F28" s="82"/>
      <c r="G28" s="89"/>
      <c r="H28" s="82"/>
      <c r="I28" s="82"/>
      <c r="J28" s="82"/>
      <c r="K28" s="89"/>
      <c r="L28" s="82"/>
      <c r="M28" s="94"/>
      <c r="N28" s="114" t="s">
        <v>138</v>
      </c>
    </row>
    <row r="29" spans="1:14" s="4" customFormat="1" ht="30.75" customHeight="1">
      <c r="A29" s="210" t="s">
        <v>1</v>
      </c>
      <c r="B29" s="187">
        <v>40990</v>
      </c>
      <c r="C29" s="187">
        <v>43646</v>
      </c>
      <c r="D29" s="68" t="s">
        <v>24</v>
      </c>
      <c r="E29" s="68">
        <v>25800</v>
      </c>
      <c r="F29" s="189"/>
      <c r="G29" s="189">
        <v>12800</v>
      </c>
      <c r="H29" s="204"/>
      <c r="I29" s="198">
        <v>18447</v>
      </c>
      <c r="J29" s="188"/>
      <c r="K29" s="189">
        <f>108139.68242+I29</f>
        <v>126586.68242</v>
      </c>
      <c r="L29" s="189"/>
      <c r="M29" s="214" t="s">
        <v>42</v>
      </c>
      <c r="N29" s="213" t="s">
        <v>157</v>
      </c>
    </row>
    <row r="30" spans="1:14" s="4" customFormat="1" ht="50.25" customHeight="1">
      <c r="A30" s="210"/>
      <c r="B30" s="187"/>
      <c r="C30" s="187"/>
      <c r="D30" s="68" t="s">
        <v>25</v>
      </c>
      <c r="E30" s="68">
        <v>30000</v>
      </c>
      <c r="F30" s="189"/>
      <c r="G30" s="189"/>
      <c r="H30" s="204"/>
      <c r="I30" s="200"/>
      <c r="J30" s="188"/>
      <c r="K30" s="189"/>
      <c r="L30" s="189"/>
      <c r="M30" s="214"/>
      <c r="N30" s="192"/>
    </row>
    <row r="31" spans="1:14" s="4" customFormat="1" ht="144.75" customHeight="1">
      <c r="A31" s="132" t="s">
        <v>45</v>
      </c>
      <c r="B31" s="67">
        <v>41829</v>
      </c>
      <c r="C31" s="67">
        <v>44012</v>
      </c>
      <c r="D31" s="68" t="s">
        <v>25</v>
      </c>
      <c r="E31" s="68">
        <v>75000</v>
      </c>
      <c r="F31" s="68"/>
      <c r="G31" s="89">
        <v>20000</v>
      </c>
      <c r="H31" s="76"/>
      <c r="I31" s="147">
        <v>21259.11306</v>
      </c>
      <c r="J31" s="147"/>
      <c r="K31" s="147">
        <f>89973.54979+I31</f>
        <v>111232.66285000001</v>
      </c>
      <c r="L31" s="147"/>
      <c r="M31" s="70" t="s">
        <v>42</v>
      </c>
      <c r="N31" s="153" t="s">
        <v>173</v>
      </c>
    </row>
    <row r="32" spans="1:14" s="4" customFormat="1" ht="174" customHeight="1">
      <c r="A32" s="109" t="s">
        <v>63</v>
      </c>
      <c r="B32" s="67">
        <v>42457</v>
      </c>
      <c r="C32" s="67">
        <v>44561</v>
      </c>
      <c r="D32" s="68" t="s">
        <v>25</v>
      </c>
      <c r="E32" s="68">
        <v>40000</v>
      </c>
      <c r="F32" s="68"/>
      <c r="G32" s="89">
        <v>23000</v>
      </c>
      <c r="H32" s="76"/>
      <c r="I32" s="147">
        <v>26864.338360000002</v>
      </c>
      <c r="J32" s="147"/>
      <c r="K32" s="147">
        <f>4739.58238+I32</f>
        <v>31603.920740000001</v>
      </c>
      <c r="L32" s="147"/>
      <c r="M32" s="70"/>
      <c r="N32" s="74" t="s">
        <v>158</v>
      </c>
    </row>
    <row r="33" spans="1:16" s="4" customFormat="1" ht="100.9" customHeight="1">
      <c r="A33" s="109" t="s">
        <v>119</v>
      </c>
      <c r="B33" s="106" t="s">
        <v>120</v>
      </c>
      <c r="C33" s="106" t="s">
        <v>121</v>
      </c>
      <c r="D33" s="105" t="s">
        <v>25</v>
      </c>
      <c r="E33" s="105">
        <v>80000</v>
      </c>
      <c r="F33" s="105"/>
      <c r="G33" s="105">
        <v>1250</v>
      </c>
      <c r="H33" s="105"/>
      <c r="I33" s="148">
        <v>8905.4256499999992</v>
      </c>
      <c r="J33" s="148"/>
      <c r="K33" s="148">
        <f>6863.7024+I33</f>
        <v>15769.128049999999</v>
      </c>
      <c r="L33" s="148"/>
      <c r="M33" s="77"/>
      <c r="N33" s="110" t="s">
        <v>174</v>
      </c>
    </row>
    <row r="34" spans="1:16" s="4" customFormat="1" ht="61.15" customHeight="1">
      <c r="A34" s="109" t="s">
        <v>64</v>
      </c>
      <c r="B34" s="67">
        <v>42752</v>
      </c>
      <c r="C34" s="67">
        <v>44196</v>
      </c>
      <c r="D34" s="68" t="s">
        <v>67</v>
      </c>
      <c r="E34" s="68">
        <v>8000</v>
      </c>
      <c r="F34" s="68"/>
      <c r="G34" s="89">
        <v>7250</v>
      </c>
      <c r="H34" s="76"/>
      <c r="I34" s="147">
        <v>746.17529000000002</v>
      </c>
      <c r="J34" s="147"/>
      <c r="K34" s="147">
        <f>49.13093+I34</f>
        <v>795.30622000000005</v>
      </c>
      <c r="L34" s="147"/>
      <c r="M34" s="70"/>
      <c r="N34" s="153" t="s">
        <v>160</v>
      </c>
    </row>
    <row r="35" spans="1:16" s="4" customFormat="1" ht="95.25" customHeight="1" thickBot="1">
      <c r="A35" s="133" t="s">
        <v>65</v>
      </c>
      <c r="B35" s="37">
        <v>42734</v>
      </c>
      <c r="C35" s="37">
        <v>43830</v>
      </c>
      <c r="D35" s="38" t="s">
        <v>31</v>
      </c>
      <c r="E35" s="38">
        <v>6000</v>
      </c>
      <c r="F35" s="38"/>
      <c r="G35" s="38"/>
      <c r="H35" s="86"/>
      <c r="I35" s="38"/>
      <c r="J35" s="38"/>
      <c r="K35" s="38"/>
      <c r="L35" s="38"/>
      <c r="M35" s="39"/>
      <c r="N35" s="80" t="s">
        <v>175</v>
      </c>
    </row>
    <row r="36" spans="1:16" s="8" customFormat="1" ht="30" customHeight="1" thickBot="1">
      <c r="A36" s="184" t="s">
        <v>12</v>
      </c>
      <c r="B36" s="185"/>
      <c r="C36" s="185"/>
      <c r="D36" s="185"/>
      <c r="E36" s="185"/>
      <c r="F36" s="186"/>
      <c r="G36" s="40">
        <f>G37+G38+G39+G40+G42+G43+G45+G46+G48+G49+G50+G47</f>
        <v>130380</v>
      </c>
      <c r="H36" s="98">
        <f t="shared" ref="H36:L36" si="2">H37+H38+H39+H40+H42+H43+H45+H46+H48+H49+H50+H47</f>
        <v>3050</v>
      </c>
      <c r="I36" s="40">
        <f>I37+I38+I39+I40+I42+I43+I45+I46+I47+I48+I49++I50</f>
        <v>133165.06800999999</v>
      </c>
      <c r="J36" s="40">
        <f t="shared" si="2"/>
        <v>5568.7552299999998</v>
      </c>
      <c r="K36" s="40">
        <f t="shared" si="2"/>
        <v>771084.65315999987</v>
      </c>
      <c r="L36" s="40">
        <f t="shared" si="2"/>
        <v>14889.02593</v>
      </c>
      <c r="M36" s="41"/>
      <c r="N36" s="122"/>
      <c r="P36" s="11"/>
    </row>
    <row r="37" spans="1:16" ht="62.25" customHeight="1">
      <c r="A37" s="109" t="s">
        <v>50</v>
      </c>
      <c r="B37" s="42">
        <v>41869</v>
      </c>
      <c r="C37" s="42">
        <v>43646</v>
      </c>
      <c r="D37" s="43" t="s">
        <v>25</v>
      </c>
      <c r="E37" s="43">
        <v>30000</v>
      </c>
      <c r="F37" s="43">
        <v>5000</v>
      </c>
      <c r="G37" s="43">
        <v>5150</v>
      </c>
      <c r="H37" s="84">
        <v>2050</v>
      </c>
      <c r="I37" s="43">
        <v>7098.9882799999996</v>
      </c>
      <c r="J37" s="84">
        <v>3833.30456</v>
      </c>
      <c r="K37" s="43">
        <f>35451.42018+I37</f>
        <v>42550.408459999999</v>
      </c>
      <c r="L37" s="43">
        <f>925.44113+J37</f>
        <v>4758.7456899999997</v>
      </c>
      <c r="M37" s="44"/>
      <c r="N37" s="123" t="s">
        <v>115</v>
      </c>
    </row>
    <row r="38" spans="1:16" ht="80.25" customHeight="1">
      <c r="A38" s="134" t="s">
        <v>6</v>
      </c>
      <c r="B38" s="72">
        <v>40227</v>
      </c>
      <c r="C38" s="45">
        <v>43465</v>
      </c>
      <c r="D38" s="71" t="s">
        <v>31</v>
      </c>
      <c r="E38" s="71">
        <v>3000</v>
      </c>
      <c r="F38" s="71"/>
      <c r="G38" s="90"/>
      <c r="H38" s="85"/>
      <c r="I38" s="71"/>
      <c r="J38" s="71"/>
      <c r="K38" s="90">
        <f>74.757+I38</f>
        <v>74.757000000000005</v>
      </c>
      <c r="L38" s="71"/>
      <c r="M38" s="73" t="s">
        <v>39</v>
      </c>
      <c r="N38" s="124" t="s">
        <v>97</v>
      </c>
    </row>
    <row r="39" spans="1:16" ht="123" customHeight="1">
      <c r="A39" s="134" t="s">
        <v>58</v>
      </c>
      <c r="B39" s="72">
        <v>41621</v>
      </c>
      <c r="C39" s="72">
        <v>43465</v>
      </c>
      <c r="D39" s="71" t="s">
        <v>31</v>
      </c>
      <c r="E39" s="71">
        <v>20000</v>
      </c>
      <c r="F39" s="71">
        <v>2000</v>
      </c>
      <c r="G39" s="90">
        <v>5000</v>
      </c>
      <c r="H39" s="85">
        <v>1000</v>
      </c>
      <c r="I39" s="71">
        <v>6116.15841</v>
      </c>
      <c r="J39" s="71">
        <v>1735.4506699999999</v>
      </c>
      <c r="K39" s="46">
        <f>1323.70033+I39</f>
        <v>7439.8587399999997</v>
      </c>
      <c r="L39" s="71">
        <f>3114.43896+J39</f>
        <v>4849.8896299999997</v>
      </c>
      <c r="M39" s="73" t="s">
        <v>46</v>
      </c>
      <c r="N39" s="124" t="s">
        <v>149</v>
      </c>
    </row>
    <row r="40" spans="1:16" ht="120" customHeight="1">
      <c r="A40" s="201" t="s">
        <v>22</v>
      </c>
      <c r="B40" s="202">
        <v>40350</v>
      </c>
      <c r="C40" s="170" t="s">
        <v>166</v>
      </c>
      <c r="D40" s="71" t="s">
        <v>24</v>
      </c>
      <c r="E40" s="71">
        <f>57986+10639</f>
        <v>68625</v>
      </c>
      <c r="F40" s="182"/>
      <c r="G40" s="182">
        <v>50250</v>
      </c>
      <c r="H40" s="183"/>
      <c r="I40" s="182">
        <v>47998.670330000001</v>
      </c>
      <c r="J40" s="182"/>
      <c r="K40" s="182">
        <f>310757.52821+I40</f>
        <v>358756.19854000001</v>
      </c>
      <c r="L40" s="182"/>
      <c r="M40" s="209" t="s">
        <v>40</v>
      </c>
      <c r="N40" s="205" t="s">
        <v>176</v>
      </c>
    </row>
    <row r="41" spans="1:16" ht="95.25" customHeight="1">
      <c r="A41" s="201"/>
      <c r="B41" s="202"/>
      <c r="C41" s="170"/>
      <c r="D41" s="71" t="s">
        <v>25</v>
      </c>
      <c r="E41" s="71">
        <f>48886+73000+20000</f>
        <v>141886</v>
      </c>
      <c r="F41" s="182"/>
      <c r="G41" s="182"/>
      <c r="H41" s="183"/>
      <c r="I41" s="182"/>
      <c r="J41" s="182"/>
      <c r="K41" s="182"/>
      <c r="L41" s="182"/>
      <c r="M41" s="209"/>
      <c r="N41" s="205"/>
    </row>
    <row r="42" spans="1:16" ht="120" customHeight="1">
      <c r="A42" s="135" t="s">
        <v>2</v>
      </c>
      <c r="B42" s="72">
        <v>40996</v>
      </c>
      <c r="C42" s="87">
        <v>43403</v>
      </c>
      <c r="D42" s="71" t="s">
        <v>25</v>
      </c>
      <c r="E42" s="71">
        <v>60000</v>
      </c>
      <c r="F42" s="71"/>
      <c r="G42" s="90">
        <v>800</v>
      </c>
      <c r="H42" s="85"/>
      <c r="I42" s="71">
        <v>1387.1566700000001</v>
      </c>
      <c r="J42" s="47"/>
      <c r="K42" s="90">
        <f>101494.19775+I42</f>
        <v>102881.35442</v>
      </c>
      <c r="L42" s="71"/>
      <c r="M42" s="73" t="s">
        <v>40</v>
      </c>
      <c r="N42" s="124" t="s">
        <v>150</v>
      </c>
    </row>
    <row r="43" spans="1:16" ht="45.6" customHeight="1">
      <c r="A43" s="211" t="s">
        <v>3</v>
      </c>
      <c r="B43" s="202">
        <v>41222</v>
      </c>
      <c r="C43" s="170">
        <v>43830</v>
      </c>
      <c r="D43" s="71" t="s">
        <v>24</v>
      </c>
      <c r="E43" s="71">
        <v>19800</v>
      </c>
      <c r="F43" s="71"/>
      <c r="G43" s="182">
        <v>7330</v>
      </c>
      <c r="H43" s="183"/>
      <c r="I43" s="182">
        <v>4551.4061499999998</v>
      </c>
      <c r="J43" s="182"/>
      <c r="K43" s="182">
        <f>53116.32248+I43</f>
        <v>57667.728630000005</v>
      </c>
      <c r="L43" s="182"/>
      <c r="M43" s="73" t="s">
        <v>40</v>
      </c>
      <c r="N43" s="205" t="s">
        <v>94</v>
      </c>
    </row>
    <row r="44" spans="1:16" ht="38.450000000000003" customHeight="1">
      <c r="A44" s="211"/>
      <c r="B44" s="202"/>
      <c r="C44" s="170"/>
      <c r="D44" s="71" t="s">
        <v>25</v>
      </c>
      <c r="E44" s="71">
        <v>9000</v>
      </c>
      <c r="F44" s="71"/>
      <c r="G44" s="182"/>
      <c r="H44" s="183"/>
      <c r="I44" s="182"/>
      <c r="J44" s="182"/>
      <c r="K44" s="182"/>
      <c r="L44" s="182"/>
      <c r="M44" s="73"/>
      <c r="N44" s="205"/>
    </row>
    <row r="45" spans="1:16" ht="70.5" customHeight="1">
      <c r="A45" s="134" t="s">
        <v>55</v>
      </c>
      <c r="B45" s="72">
        <v>42223</v>
      </c>
      <c r="C45" s="72">
        <v>43830</v>
      </c>
      <c r="D45" s="71" t="s">
        <v>25</v>
      </c>
      <c r="E45" s="71">
        <v>60000</v>
      </c>
      <c r="F45" s="71"/>
      <c r="G45" s="90">
        <v>20950</v>
      </c>
      <c r="H45" s="85"/>
      <c r="I45" s="71">
        <v>16603.307069999999</v>
      </c>
      <c r="J45" s="71"/>
      <c r="K45" s="90">
        <f>14498.42158+I45</f>
        <v>31101.728649999997</v>
      </c>
      <c r="L45" s="71"/>
      <c r="M45" s="73"/>
      <c r="N45" s="124" t="s">
        <v>99</v>
      </c>
    </row>
    <row r="46" spans="1:16" s="10" customFormat="1" ht="57" hidden="1" customHeight="1">
      <c r="A46" s="168" t="s">
        <v>56</v>
      </c>
      <c r="B46" s="72">
        <v>42136</v>
      </c>
      <c r="C46" s="72">
        <v>43232</v>
      </c>
      <c r="D46" s="71" t="s">
        <v>31</v>
      </c>
      <c r="E46" s="71">
        <v>4300</v>
      </c>
      <c r="F46" s="71">
        <v>1843</v>
      </c>
      <c r="G46" s="90"/>
      <c r="H46" s="85"/>
      <c r="I46" s="71"/>
      <c r="J46" s="71"/>
      <c r="K46" s="90">
        <f>119.7894+I46</f>
        <v>119.7894</v>
      </c>
      <c r="L46" s="71"/>
      <c r="M46" s="73"/>
      <c r="N46" s="124" t="s">
        <v>100</v>
      </c>
    </row>
    <row r="47" spans="1:16" s="10" customFormat="1" ht="69" hidden="1" customHeight="1">
      <c r="A47" s="168" t="s">
        <v>85</v>
      </c>
      <c r="B47" s="72">
        <v>42563</v>
      </c>
      <c r="C47" s="72">
        <v>43036</v>
      </c>
      <c r="D47" s="71" t="s">
        <v>31</v>
      </c>
      <c r="E47" s="71">
        <v>10000</v>
      </c>
      <c r="F47" s="71">
        <v>2000</v>
      </c>
      <c r="G47" s="90"/>
      <c r="H47" s="85"/>
      <c r="I47" s="71"/>
      <c r="J47" s="71"/>
      <c r="K47" s="90">
        <f>12332.76308+I47</f>
        <v>12332.763080000001</v>
      </c>
      <c r="L47" s="48">
        <f>5280.39061+J47</f>
        <v>5280.3906100000004</v>
      </c>
      <c r="M47" s="73"/>
      <c r="N47" s="124" t="s">
        <v>112</v>
      </c>
    </row>
    <row r="48" spans="1:16" s="4" customFormat="1" ht="114.75" customHeight="1">
      <c r="A48" s="134" t="s">
        <v>51</v>
      </c>
      <c r="B48" s="72">
        <v>41884</v>
      </c>
      <c r="C48" s="170">
        <v>43830</v>
      </c>
      <c r="D48" s="71" t="s">
        <v>31</v>
      </c>
      <c r="E48" s="71">
        <v>13200</v>
      </c>
      <c r="F48" s="71"/>
      <c r="G48" s="90">
        <v>1000</v>
      </c>
      <c r="H48" s="85"/>
      <c r="I48" s="71"/>
      <c r="J48" s="47"/>
      <c r="K48" s="90">
        <f>30507.38324+I48</f>
        <v>30507.383239999999</v>
      </c>
      <c r="L48" s="71"/>
      <c r="M48" s="73" t="s">
        <v>41</v>
      </c>
      <c r="N48" s="124" t="s">
        <v>98</v>
      </c>
    </row>
    <row r="49" spans="1:15" s="4" customFormat="1" ht="87" customHeight="1">
      <c r="A49" s="134" t="s">
        <v>61</v>
      </c>
      <c r="B49" s="72">
        <v>42411</v>
      </c>
      <c r="C49" s="45">
        <v>44238</v>
      </c>
      <c r="D49" s="71" t="s">
        <v>31</v>
      </c>
      <c r="E49" s="71">
        <v>100000</v>
      </c>
      <c r="F49" s="71"/>
      <c r="G49" s="90">
        <v>39100</v>
      </c>
      <c r="H49" s="85"/>
      <c r="I49" s="71">
        <v>49409.381099999999</v>
      </c>
      <c r="J49" s="71"/>
      <c r="K49" s="90">
        <f>78243.3019+I49</f>
        <v>127652.683</v>
      </c>
      <c r="L49" s="71"/>
      <c r="M49" s="73"/>
      <c r="N49" s="124" t="s">
        <v>95</v>
      </c>
    </row>
    <row r="50" spans="1:15" s="4" customFormat="1" ht="59.25" customHeight="1" thickBot="1">
      <c r="A50" s="136" t="s">
        <v>68</v>
      </c>
      <c r="B50" s="49">
        <v>42713</v>
      </c>
      <c r="C50" s="45">
        <v>44561</v>
      </c>
      <c r="D50" s="50" t="s">
        <v>31</v>
      </c>
      <c r="E50" s="50">
        <v>100000</v>
      </c>
      <c r="F50" s="50"/>
      <c r="G50" s="50">
        <v>800</v>
      </c>
      <c r="H50" s="99"/>
      <c r="I50" s="50"/>
      <c r="J50" s="50"/>
      <c r="K50" s="51">
        <v>0</v>
      </c>
      <c r="L50" s="50"/>
      <c r="M50" s="52"/>
      <c r="N50" s="125" t="s">
        <v>101</v>
      </c>
    </row>
    <row r="51" spans="1:15" s="8" customFormat="1" ht="30" customHeight="1" thickBot="1">
      <c r="A51" s="184" t="s">
        <v>15</v>
      </c>
      <c r="B51" s="185"/>
      <c r="C51" s="185"/>
      <c r="D51" s="185"/>
      <c r="E51" s="185"/>
      <c r="F51" s="186"/>
      <c r="G51" s="40">
        <f>G52+G53+G56+G58+G59+G57+G55</f>
        <v>150140</v>
      </c>
      <c r="H51" s="98">
        <f t="shared" ref="H51:J51" si="3">H52+H53+H56+H58+H59+H57</f>
        <v>28865</v>
      </c>
      <c r="I51" s="40">
        <f>I52+I53+I56+I58+I59+I57+I55</f>
        <v>169781.44585999998</v>
      </c>
      <c r="J51" s="40">
        <f t="shared" si="3"/>
        <v>21012.848669999999</v>
      </c>
      <c r="K51" s="40">
        <f>K52+K53+K56+K58+K59+K57+K55</f>
        <v>667373.47458399995</v>
      </c>
      <c r="L51" s="40">
        <f>L52+L53+L56+L58+L59+L57+L55</f>
        <v>97620.422089999993</v>
      </c>
      <c r="M51" s="41"/>
      <c r="N51" s="122"/>
      <c r="O51" s="12"/>
    </row>
    <row r="52" spans="1:15" ht="42" customHeight="1">
      <c r="A52" s="137" t="s">
        <v>23</v>
      </c>
      <c r="B52" s="53">
        <v>39626</v>
      </c>
      <c r="C52" s="53">
        <v>43373</v>
      </c>
      <c r="D52" s="32" t="s">
        <v>31</v>
      </c>
      <c r="E52" s="32">
        <v>3700</v>
      </c>
      <c r="F52" s="32">
        <v>1814</v>
      </c>
      <c r="G52" s="88">
        <v>1500</v>
      </c>
      <c r="H52" s="100"/>
      <c r="I52" s="32"/>
      <c r="J52" s="54"/>
      <c r="K52" s="88">
        <f>6580.461404+I52</f>
        <v>6580.4614039999997</v>
      </c>
      <c r="L52" s="32">
        <f>3649.68102+J52</f>
        <v>3649.68102</v>
      </c>
      <c r="M52" s="55" t="s">
        <v>40</v>
      </c>
      <c r="N52" s="126" t="s">
        <v>114</v>
      </c>
    </row>
    <row r="53" spans="1:15" ht="266.45" customHeight="1">
      <c r="A53" s="181" t="s">
        <v>4</v>
      </c>
      <c r="B53" s="187">
        <v>40673</v>
      </c>
      <c r="C53" s="187">
        <v>43738</v>
      </c>
      <c r="D53" s="33" t="s">
        <v>24</v>
      </c>
      <c r="E53" s="33">
        <f>51343+25047+64205+23005</f>
        <v>163600</v>
      </c>
      <c r="F53" s="189"/>
      <c r="G53" s="189">
        <v>121000</v>
      </c>
      <c r="H53" s="204"/>
      <c r="I53" s="189">
        <v>130364.45944999999</v>
      </c>
      <c r="J53" s="188"/>
      <c r="K53" s="189">
        <f>360997.64518+I53</f>
        <v>491362.10462999996</v>
      </c>
      <c r="L53" s="189"/>
      <c r="M53" s="34" t="s">
        <v>7</v>
      </c>
      <c r="N53" s="191" t="s">
        <v>177</v>
      </c>
    </row>
    <row r="54" spans="1:15" ht="322.5" customHeight="1">
      <c r="A54" s="181"/>
      <c r="B54" s="187"/>
      <c r="C54" s="187"/>
      <c r="D54" s="33" t="s">
        <v>25</v>
      </c>
      <c r="E54" s="33">
        <f>108000+43000+99000</f>
        <v>250000</v>
      </c>
      <c r="F54" s="189"/>
      <c r="G54" s="189"/>
      <c r="H54" s="204"/>
      <c r="I54" s="189"/>
      <c r="J54" s="188"/>
      <c r="K54" s="189"/>
      <c r="L54" s="189"/>
      <c r="M54" s="34"/>
      <c r="N54" s="192"/>
    </row>
    <row r="55" spans="1:15" s="14" customFormat="1" ht="83.25" customHeight="1">
      <c r="A55" s="75" t="s">
        <v>131</v>
      </c>
      <c r="B55" s="108" t="s">
        <v>132</v>
      </c>
      <c r="C55" s="108" t="s">
        <v>133</v>
      </c>
      <c r="D55" s="113" t="s">
        <v>31</v>
      </c>
      <c r="E55" s="107">
        <v>100</v>
      </c>
      <c r="F55" s="82"/>
      <c r="G55" s="89">
        <v>40</v>
      </c>
      <c r="H55" s="76"/>
      <c r="I55" s="150">
        <v>35.078020000000002</v>
      </c>
      <c r="J55" s="93"/>
      <c r="K55" s="89">
        <f>I55</f>
        <v>35.078020000000002</v>
      </c>
      <c r="L55" s="82"/>
      <c r="M55" s="94"/>
      <c r="N55" s="115" t="s">
        <v>140</v>
      </c>
    </row>
    <row r="56" spans="1:15" ht="225.75" customHeight="1">
      <c r="A56" s="141" t="s">
        <v>69</v>
      </c>
      <c r="B56" s="20">
        <v>40773</v>
      </c>
      <c r="C56" s="20">
        <v>43830</v>
      </c>
      <c r="D56" s="56" t="s">
        <v>31</v>
      </c>
      <c r="E56" s="56">
        <f>2988.339+4000+20000</f>
        <v>26988.339</v>
      </c>
      <c r="F56" s="56">
        <f>4500+6728.536+9000+4000+7000</f>
        <v>31228.536</v>
      </c>
      <c r="G56" s="89">
        <v>10000</v>
      </c>
      <c r="H56" s="76">
        <v>7015</v>
      </c>
      <c r="I56" s="113">
        <v>9549.1818000000003</v>
      </c>
      <c r="J56" s="155">
        <v>9073.3346899999997</v>
      </c>
      <c r="K56" s="89">
        <f>36651.583+I56</f>
        <v>46200.764799999997</v>
      </c>
      <c r="L56" s="56">
        <f>48434.17185+J56</f>
        <v>57507.506540000002</v>
      </c>
      <c r="M56" s="33" t="s">
        <v>8</v>
      </c>
      <c r="N56" s="74" t="s">
        <v>86</v>
      </c>
    </row>
    <row r="57" spans="1:15" ht="56.25" customHeight="1">
      <c r="A57" s="141" t="s">
        <v>79</v>
      </c>
      <c r="B57" s="20">
        <v>42360</v>
      </c>
      <c r="C57" s="20">
        <v>44012</v>
      </c>
      <c r="D57" s="33" t="s">
        <v>31</v>
      </c>
      <c r="E57" s="33">
        <v>30000</v>
      </c>
      <c r="F57" s="33">
        <v>2000</v>
      </c>
      <c r="G57" s="89">
        <v>10100</v>
      </c>
      <c r="H57" s="76">
        <v>9300</v>
      </c>
      <c r="I57" s="33">
        <v>15506.68946</v>
      </c>
      <c r="J57" s="144">
        <v>1347.63085</v>
      </c>
      <c r="K57" s="89">
        <f>19174.80166+I57</f>
        <v>34681.491119999999</v>
      </c>
      <c r="L57" s="33">
        <f>2151.41058+J57</f>
        <v>3499.0414300000002</v>
      </c>
      <c r="M57" s="33"/>
      <c r="N57" s="74" t="s">
        <v>102</v>
      </c>
    </row>
    <row r="58" spans="1:15" ht="44.25" customHeight="1">
      <c r="A58" s="75" t="s">
        <v>87</v>
      </c>
      <c r="B58" s="20">
        <v>41506</v>
      </c>
      <c r="C58" s="36">
        <v>43332</v>
      </c>
      <c r="D58" s="33" t="s">
        <v>31</v>
      </c>
      <c r="E58" s="33">
        <v>40000</v>
      </c>
      <c r="F58" s="33">
        <v>8000</v>
      </c>
      <c r="G58" s="89">
        <v>7500</v>
      </c>
      <c r="H58" s="76">
        <v>1400</v>
      </c>
      <c r="I58" s="33">
        <v>14326.037130000001</v>
      </c>
      <c r="J58" s="56">
        <v>2625.3965800000001</v>
      </c>
      <c r="K58" s="89">
        <f>74187.53748+I58</f>
        <v>88513.574609999996</v>
      </c>
      <c r="L58" s="33">
        <f>15195.11472+J58</f>
        <v>17820.511299999998</v>
      </c>
      <c r="M58" s="34" t="s">
        <v>40</v>
      </c>
      <c r="N58" s="74" t="s">
        <v>103</v>
      </c>
    </row>
    <row r="59" spans="1:15" ht="52.5" customHeight="1" thickBot="1">
      <c r="A59" s="138" t="s">
        <v>36</v>
      </c>
      <c r="B59" s="37">
        <v>41480</v>
      </c>
      <c r="C59" s="37">
        <v>43889</v>
      </c>
      <c r="D59" s="38" t="s">
        <v>25</v>
      </c>
      <c r="E59" s="38"/>
      <c r="F59" s="38">
        <v>10052.155000000001</v>
      </c>
      <c r="G59" s="38"/>
      <c r="H59" s="86">
        <v>11150</v>
      </c>
      <c r="I59" s="38"/>
      <c r="J59" s="57">
        <v>7966.4865499999996</v>
      </c>
      <c r="K59" s="38"/>
      <c r="L59" s="38">
        <f>7177.19525+J59</f>
        <v>15143.681799999998</v>
      </c>
      <c r="M59" s="39" t="s">
        <v>40</v>
      </c>
      <c r="N59" s="80" t="s">
        <v>116</v>
      </c>
    </row>
    <row r="60" spans="1:15" s="8" customFormat="1" ht="30" customHeight="1" thickBot="1">
      <c r="A60" s="184" t="s">
        <v>11</v>
      </c>
      <c r="B60" s="185"/>
      <c r="C60" s="185"/>
      <c r="D60" s="185"/>
      <c r="E60" s="185"/>
      <c r="F60" s="186"/>
      <c r="G60" s="40">
        <f>G61+G62+G66+G63+G65+G64+G67+G68+G69+G70</f>
        <v>36650</v>
      </c>
      <c r="H60" s="98">
        <f t="shared" ref="H60:L60" si="4">H61+H62+H66+H63+H65+H64+H67+H68+H69+H70</f>
        <v>0</v>
      </c>
      <c r="I60" s="40">
        <f t="shared" si="4"/>
        <v>34707.668059999996</v>
      </c>
      <c r="J60" s="40">
        <f t="shared" si="4"/>
        <v>0</v>
      </c>
      <c r="K60" s="40">
        <f>K61+K62+K66+K63+K65+K64+K67+K68+K69+K70</f>
        <v>258203.725565</v>
      </c>
      <c r="L60" s="40">
        <f t="shared" si="4"/>
        <v>20950.680079999998</v>
      </c>
      <c r="M60" s="41"/>
      <c r="N60" s="122"/>
    </row>
    <row r="61" spans="1:15" ht="126" customHeight="1">
      <c r="A61" s="137" t="s">
        <v>142</v>
      </c>
      <c r="B61" s="118">
        <v>43105</v>
      </c>
      <c r="C61" s="118" t="s">
        <v>141</v>
      </c>
      <c r="D61" s="116" t="s">
        <v>31</v>
      </c>
      <c r="E61" s="116">
        <v>28000</v>
      </c>
      <c r="F61" s="116">
        <v>7000</v>
      </c>
      <c r="G61" s="88">
        <v>1810</v>
      </c>
      <c r="H61" s="100"/>
      <c r="I61" s="146">
        <v>2588.2777099999998</v>
      </c>
      <c r="J61" s="92"/>
      <c r="K61" s="88">
        <f>I61</f>
        <v>2588.2777099999998</v>
      </c>
      <c r="L61" s="88"/>
      <c r="M61" s="55" t="s">
        <v>9</v>
      </c>
      <c r="N61" s="126" t="s">
        <v>144</v>
      </c>
    </row>
    <row r="62" spans="1:15" ht="54.6" customHeight="1">
      <c r="A62" s="139" t="s">
        <v>88</v>
      </c>
      <c r="B62" s="194">
        <v>41572</v>
      </c>
      <c r="C62" s="194">
        <v>43463</v>
      </c>
      <c r="D62" s="198" t="s">
        <v>31</v>
      </c>
      <c r="E62" s="198">
        <f>25200+35000</f>
        <v>60200</v>
      </c>
      <c r="F62" s="33">
        <v>8000</v>
      </c>
      <c r="G62" s="89">
        <v>4390</v>
      </c>
      <c r="H62" s="76"/>
      <c r="I62" s="33">
        <v>4076.3249999999998</v>
      </c>
      <c r="J62" s="33"/>
      <c r="K62" s="89">
        <f>88336.336955+I62</f>
        <v>92412.661955000003</v>
      </c>
      <c r="L62" s="33">
        <f>20950.68008+J62</f>
        <v>20950.680079999998</v>
      </c>
      <c r="M62" s="34" t="s">
        <v>33</v>
      </c>
      <c r="N62" s="208" t="s">
        <v>89</v>
      </c>
    </row>
    <row r="63" spans="1:15" s="10" customFormat="1" ht="43.15" customHeight="1">
      <c r="A63" s="139" t="s">
        <v>90</v>
      </c>
      <c r="B63" s="195"/>
      <c r="C63" s="195"/>
      <c r="D63" s="199"/>
      <c r="E63" s="199"/>
      <c r="F63" s="33"/>
      <c r="G63" s="89">
        <v>16300</v>
      </c>
      <c r="H63" s="76"/>
      <c r="I63" s="33">
        <v>12155.41286</v>
      </c>
      <c r="J63" s="33"/>
      <c r="K63" s="89">
        <f>33064.47741+I63</f>
        <v>45219.890270000004</v>
      </c>
      <c r="L63" s="33"/>
      <c r="M63" s="34"/>
      <c r="N63" s="208"/>
    </row>
    <row r="64" spans="1:15" ht="50.25" customHeight="1">
      <c r="A64" s="75" t="s">
        <v>74</v>
      </c>
      <c r="B64" s="196"/>
      <c r="C64" s="196"/>
      <c r="D64" s="200"/>
      <c r="E64" s="200"/>
      <c r="F64" s="33"/>
      <c r="G64" s="89"/>
      <c r="H64" s="76"/>
      <c r="I64" s="33"/>
      <c r="J64" s="56"/>
      <c r="K64" s="89">
        <f>5120.67471+I64</f>
        <v>5120.6747100000002</v>
      </c>
      <c r="L64" s="33"/>
      <c r="M64" s="34"/>
      <c r="N64" s="117" t="s">
        <v>104</v>
      </c>
    </row>
    <row r="65" spans="1:14" ht="84" customHeight="1">
      <c r="A65" s="169" t="s">
        <v>73</v>
      </c>
      <c r="B65" s="20">
        <v>42838</v>
      </c>
      <c r="C65" s="36">
        <v>44742</v>
      </c>
      <c r="D65" s="81" t="s">
        <v>31</v>
      </c>
      <c r="E65" s="79">
        <v>125000</v>
      </c>
      <c r="F65" s="33"/>
      <c r="G65" s="89"/>
      <c r="H65" s="76"/>
      <c r="I65" s="33"/>
      <c r="J65" s="56"/>
      <c r="K65" s="89">
        <f>I65</f>
        <v>0</v>
      </c>
      <c r="L65" s="33"/>
      <c r="M65" s="34"/>
      <c r="N65" s="117" t="s">
        <v>82</v>
      </c>
    </row>
    <row r="66" spans="1:14" ht="51.75" customHeight="1">
      <c r="A66" s="75" t="s">
        <v>62</v>
      </c>
      <c r="B66" s="187">
        <v>41885</v>
      </c>
      <c r="C66" s="187">
        <v>43555</v>
      </c>
      <c r="D66" s="33" t="s">
        <v>25</v>
      </c>
      <c r="E66" s="189">
        <v>60000</v>
      </c>
      <c r="F66" s="33"/>
      <c r="G66" s="89">
        <v>13600</v>
      </c>
      <c r="H66" s="76"/>
      <c r="I66" s="33">
        <v>15887.65249</v>
      </c>
      <c r="J66" s="56"/>
      <c r="K66" s="89">
        <f>96542.64979+I66</f>
        <v>112430.30228</v>
      </c>
      <c r="L66" s="33"/>
      <c r="M66" s="34"/>
      <c r="N66" s="74" t="s">
        <v>105</v>
      </c>
    </row>
    <row r="67" spans="1:14" ht="50.25" customHeight="1">
      <c r="A67" s="75" t="s">
        <v>75</v>
      </c>
      <c r="B67" s="187"/>
      <c r="C67" s="187"/>
      <c r="D67" s="33" t="s">
        <v>25</v>
      </c>
      <c r="E67" s="190"/>
      <c r="F67" s="33"/>
      <c r="G67" s="89">
        <v>550</v>
      </c>
      <c r="H67" s="76"/>
      <c r="I67" s="33"/>
      <c r="J67" s="56"/>
      <c r="K67" s="89">
        <f>431.91864+I67</f>
        <v>431.91863999999998</v>
      </c>
      <c r="L67" s="33"/>
      <c r="M67" s="34"/>
      <c r="N67" s="74" t="s">
        <v>106</v>
      </c>
    </row>
    <row r="68" spans="1:14" ht="139.5" customHeight="1">
      <c r="A68" s="75" t="s">
        <v>76</v>
      </c>
      <c r="B68" s="20"/>
      <c r="C68" s="20"/>
      <c r="D68" s="33"/>
      <c r="E68" s="33"/>
      <c r="F68" s="33"/>
      <c r="G68" s="89"/>
      <c r="H68" s="76"/>
      <c r="I68" s="33"/>
      <c r="J68" s="56"/>
      <c r="K68" s="89"/>
      <c r="L68" s="33"/>
      <c r="M68" s="34"/>
      <c r="N68" s="117" t="s">
        <v>96</v>
      </c>
    </row>
    <row r="69" spans="1:14" ht="84" customHeight="1">
      <c r="A69" s="75" t="s">
        <v>77</v>
      </c>
      <c r="B69" s="20"/>
      <c r="C69" s="20"/>
      <c r="D69" s="33"/>
      <c r="E69" s="33"/>
      <c r="F69" s="33"/>
      <c r="G69" s="89"/>
      <c r="H69" s="76"/>
      <c r="I69" s="33"/>
      <c r="J69" s="56"/>
      <c r="K69" s="89"/>
      <c r="L69" s="33"/>
      <c r="M69" s="34"/>
      <c r="N69" s="74" t="s">
        <v>83</v>
      </c>
    </row>
    <row r="70" spans="1:14" ht="122.25" customHeight="1" thickBot="1">
      <c r="A70" s="138" t="s">
        <v>78</v>
      </c>
      <c r="B70" s="37"/>
      <c r="C70" s="37"/>
      <c r="D70" s="38"/>
      <c r="E70" s="38"/>
      <c r="F70" s="38"/>
      <c r="G70" s="38"/>
      <c r="H70" s="86"/>
      <c r="I70" s="38"/>
      <c r="J70" s="57"/>
      <c r="K70" s="38"/>
      <c r="L70" s="38"/>
      <c r="M70" s="39"/>
      <c r="N70" s="80" t="s">
        <v>84</v>
      </c>
    </row>
    <row r="71" spans="1:14" s="8" customFormat="1" ht="36" customHeight="1" thickBot="1">
      <c r="A71" s="184" t="s">
        <v>17</v>
      </c>
      <c r="B71" s="185"/>
      <c r="C71" s="185"/>
      <c r="D71" s="185"/>
      <c r="E71" s="185"/>
      <c r="F71" s="186"/>
      <c r="G71" s="40">
        <f>G72+G75+G78+G77+G76</f>
        <v>26950</v>
      </c>
      <c r="H71" s="98">
        <f t="shared" ref="H71" si="5">H72+H75+H78+H77+H76</f>
        <v>4450</v>
      </c>
      <c r="I71" s="40">
        <f>I72+I75+I78+I77+I76</f>
        <v>25555.410409999997</v>
      </c>
      <c r="J71" s="40">
        <f>J72+J75+J78+J77+J76</f>
        <v>3392.45894</v>
      </c>
      <c r="K71" s="40">
        <f t="shared" ref="K71:L71" si="6">K72+K75+K78+K77+K76</f>
        <v>65845.539166000002</v>
      </c>
      <c r="L71" s="40">
        <f t="shared" si="6"/>
        <v>6603.4835399999993</v>
      </c>
      <c r="M71" s="41"/>
      <c r="N71" s="122"/>
    </row>
    <row r="72" spans="1:14" ht="168" customHeight="1">
      <c r="A72" s="193" t="s">
        <v>52</v>
      </c>
      <c r="B72" s="58">
        <v>42052</v>
      </c>
      <c r="C72" s="59">
        <v>43829</v>
      </c>
      <c r="D72" s="32" t="s">
        <v>24</v>
      </c>
      <c r="E72" s="32">
        <v>8610</v>
      </c>
      <c r="F72" s="32"/>
      <c r="G72" s="197">
        <v>9700</v>
      </c>
      <c r="H72" s="203">
        <v>3925</v>
      </c>
      <c r="I72" s="197">
        <v>9037.7931499999995</v>
      </c>
      <c r="J72" s="197">
        <v>3392.45894</v>
      </c>
      <c r="K72" s="197">
        <f>7241.25986+I72</f>
        <v>16279.05301</v>
      </c>
      <c r="L72" s="197">
        <f>2710.0976+J72</f>
        <v>6102.5565399999996</v>
      </c>
      <c r="M72" s="55"/>
      <c r="N72" s="206" t="s">
        <v>168</v>
      </c>
    </row>
    <row r="73" spans="1:14" ht="120" customHeight="1">
      <c r="A73" s="181"/>
      <c r="B73" s="36">
        <v>41978</v>
      </c>
      <c r="C73" s="60">
        <v>43830</v>
      </c>
      <c r="D73" s="33" t="s">
        <v>25</v>
      </c>
      <c r="E73" s="33"/>
      <c r="F73" s="33">
        <v>500</v>
      </c>
      <c r="G73" s="189"/>
      <c r="H73" s="204"/>
      <c r="I73" s="189"/>
      <c r="J73" s="189"/>
      <c r="K73" s="189"/>
      <c r="L73" s="189"/>
      <c r="M73" s="34"/>
      <c r="N73" s="207"/>
    </row>
    <row r="74" spans="1:14" ht="220.5" customHeight="1">
      <c r="A74" s="181"/>
      <c r="B74" s="36">
        <v>42052</v>
      </c>
      <c r="C74" s="61">
        <v>43513</v>
      </c>
      <c r="D74" s="33" t="s">
        <v>25</v>
      </c>
      <c r="E74" s="33"/>
      <c r="F74" s="33">
        <v>5300</v>
      </c>
      <c r="G74" s="189"/>
      <c r="H74" s="204"/>
      <c r="I74" s="189"/>
      <c r="J74" s="189"/>
      <c r="K74" s="189"/>
      <c r="L74" s="189"/>
      <c r="M74" s="34"/>
      <c r="N74" s="207"/>
    </row>
    <row r="75" spans="1:14" ht="89.25" customHeight="1">
      <c r="A75" s="181" t="s">
        <v>54</v>
      </c>
      <c r="B75" s="187">
        <v>41964</v>
      </c>
      <c r="C75" s="187">
        <v>44408</v>
      </c>
      <c r="D75" s="188" t="s">
        <v>24</v>
      </c>
      <c r="E75" s="189">
        <v>32400</v>
      </c>
      <c r="F75" s="189"/>
      <c r="G75" s="89">
        <v>14350</v>
      </c>
      <c r="H75" s="76"/>
      <c r="I75" s="151">
        <v>13887.855960000001</v>
      </c>
      <c r="J75" s="56"/>
      <c r="K75" s="89">
        <f>31293.967106+I75</f>
        <v>45181.823065999997</v>
      </c>
      <c r="L75" s="33"/>
      <c r="M75" s="34"/>
      <c r="N75" s="74" t="s">
        <v>107</v>
      </c>
    </row>
    <row r="76" spans="1:14" ht="89.25" customHeight="1">
      <c r="A76" s="181"/>
      <c r="B76" s="187"/>
      <c r="C76" s="187"/>
      <c r="D76" s="188"/>
      <c r="E76" s="189"/>
      <c r="F76" s="189"/>
      <c r="G76" s="89">
        <v>2900</v>
      </c>
      <c r="H76" s="76"/>
      <c r="I76" s="33">
        <v>2629.7613000000001</v>
      </c>
      <c r="J76" s="56"/>
      <c r="K76" s="89">
        <f>1754.90179+I76</f>
        <v>4384.66309</v>
      </c>
      <c r="L76" s="33"/>
      <c r="M76" s="34"/>
      <c r="N76" s="74" t="s">
        <v>108</v>
      </c>
    </row>
    <row r="77" spans="1:14" ht="85.5" customHeight="1">
      <c r="A77" s="169" t="s">
        <v>72</v>
      </c>
      <c r="B77" s="91">
        <v>42713</v>
      </c>
      <c r="C77" s="91">
        <v>44174</v>
      </c>
      <c r="D77" s="76" t="s">
        <v>31</v>
      </c>
      <c r="E77" s="76">
        <v>100000</v>
      </c>
      <c r="F77" s="33"/>
      <c r="G77" s="89"/>
      <c r="H77" s="76"/>
      <c r="I77" s="33"/>
      <c r="J77" s="33"/>
      <c r="K77" s="89"/>
      <c r="L77" s="33"/>
      <c r="M77" s="34"/>
      <c r="N77" s="74" t="s">
        <v>169</v>
      </c>
    </row>
    <row r="78" spans="1:14" ht="96.75" customHeight="1" thickBot="1">
      <c r="A78" s="138" t="s">
        <v>53</v>
      </c>
      <c r="B78" s="37">
        <v>41946</v>
      </c>
      <c r="C78" s="62">
        <v>43190</v>
      </c>
      <c r="D78" s="57" t="s">
        <v>31</v>
      </c>
      <c r="E78" s="38"/>
      <c r="F78" s="38">
        <v>861</v>
      </c>
      <c r="G78" s="38"/>
      <c r="H78" s="86">
        <v>525</v>
      </c>
      <c r="I78" s="38"/>
      <c r="J78" s="38"/>
      <c r="K78" s="38"/>
      <c r="L78" s="38">
        <f>500.927+J78</f>
        <v>500.92700000000002</v>
      </c>
      <c r="M78" s="39"/>
      <c r="N78" s="80" t="s">
        <v>109</v>
      </c>
    </row>
    <row r="79" spans="1:14" s="8" customFormat="1" ht="29.25" customHeight="1" thickBot="1">
      <c r="A79" s="184" t="s">
        <v>19</v>
      </c>
      <c r="B79" s="185"/>
      <c r="C79" s="185"/>
      <c r="D79" s="185"/>
      <c r="E79" s="185"/>
      <c r="F79" s="186"/>
      <c r="G79" s="40">
        <f>G80+G81</f>
        <v>0</v>
      </c>
      <c r="H79" s="98">
        <f t="shared" ref="H79:L79" si="7">H80+H81</f>
        <v>8393</v>
      </c>
      <c r="I79" s="40">
        <f t="shared" si="7"/>
        <v>0</v>
      </c>
      <c r="J79" s="40">
        <f t="shared" si="7"/>
        <v>3691.4628899999998</v>
      </c>
      <c r="K79" s="40">
        <f t="shared" si="7"/>
        <v>0</v>
      </c>
      <c r="L79" s="40">
        <f t="shared" si="7"/>
        <v>22062.834010000002</v>
      </c>
      <c r="M79" s="63"/>
      <c r="N79" s="98"/>
    </row>
    <row r="80" spans="1:14" ht="189.75" customHeight="1">
      <c r="A80" s="137" t="s">
        <v>16</v>
      </c>
      <c r="B80" s="58">
        <v>40119</v>
      </c>
      <c r="C80" s="53">
        <v>43465</v>
      </c>
      <c r="D80" s="32" t="s">
        <v>31</v>
      </c>
      <c r="E80" s="32"/>
      <c r="F80" s="32">
        <v>2267</v>
      </c>
      <c r="G80" s="88"/>
      <c r="H80" s="100">
        <v>1223</v>
      </c>
      <c r="I80" s="32"/>
      <c r="J80" s="54">
        <v>842.75013000000001</v>
      </c>
      <c r="K80" s="88"/>
      <c r="L80" s="32">
        <f>5234.45876+J80</f>
        <v>6077.2088900000008</v>
      </c>
      <c r="M80" s="55" t="s">
        <v>43</v>
      </c>
      <c r="N80" s="126" t="s">
        <v>93</v>
      </c>
    </row>
    <row r="81" spans="1:14" ht="232.5" customHeight="1" thickBot="1">
      <c r="A81" s="138" t="s">
        <v>5</v>
      </c>
      <c r="B81" s="62">
        <v>40589</v>
      </c>
      <c r="C81" s="62" t="s">
        <v>118</v>
      </c>
      <c r="D81" s="57" t="s">
        <v>31</v>
      </c>
      <c r="E81" s="38"/>
      <c r="F81" s="38">
        <v>8250</v>
      </c>
      <c r="G81" s="38"/>
      <c r="H81" s="86">
        <v>7170</v>
      </c>
      <c r="I81" s="38"/>
      <c r="J81" s="38">
        <v>2848.7127599999999</v>
      </c>
      <c r="K81" s="38"/>
      <c r="L81" s="38">
        <f>13136.91236+J81</f>
        <v>15985.625120000001</v>
      </c>
      <c r="M81" s="39" t="s">
        <v>43</v>
      </c>
      <c r="N81" s="127" t="s">
        <v>117</v>
      </c>
    </row>
    <row r="82" spans="1:14" s="8" customFormat="1" ht="21" customHeight="1" thickBot="1">
      <c r="A82" s="184" t="s">
        <v>18</v>
      </c>
      <c r="B82" s="185"/>
      <c r="C82" s="185"/>
      <c r="D82" s="185"/>
      <c r="E82" s="185"/>
      <c r="F82" s="186"/>
      <c r="G82" s="40">
        <f>G83+G88+G86+G87+G84+G85</f>
        <v>53900</v>
      </c>
      <c r="H82" s="98">
        <f>H83+H88+H86+H87+H84+H85</f>
        <v>88590</v>
      </c>
      <c r="I82" s="149">
        <f t="shared" ref="I82:L82" si="8">I83+I88+I86+I87+I84+I85</f>
        <v>51107.055960000005</v>
      </c>
      <c r="J82" s="40">
        <f t="shared" si="8"/>
        <v>95277.656959999993</v>
      </c>
      <c r="K82" s="40">
        <f t="shared" si="8"/>
        <v>260485.79843000002</v>
      </c>
      <c r="L82" s="40">
        <f t="shared" si="8"/>
        <v>281798.9119914</v>
      </c>
      <c r="M82" s="63"/>
      <c r="N82" s="98"/>
    </row>
    <row r="83" spans="1:14" ht="409.6" customHeight="1">
      <c r="A83" s="159" t="s">
        <v>48</v>
      </c>
      <c r="B83" s="58">
        <v>41103</v>
      </c>
      <c r="C83" s="58">
        <v>43307</v>
      </c>
      <c r="D83" s="167" t="s">
        <v>25</v>
      </c>
      <c r="E83" s="160"/>
      <c r="F83" s="160">
        <f>140000+2700</f>
        <v>142700</v>
      </c>
      <c r="G83" s="160"/>
      <c r="H83" s="161">
        <v>86490</v>
      </c>
      <c r="I83" s="160"/>
      <c r="J83" s="167">
        <v>95277.656959999993</v>
      </c>
      <c r="K83" s="160"/>
      <c r="L83" s="160">
        <f>186521.2550314+J83</f>
        <v>281798.9119914</v>
      </c>
      <c r="M83" s="165" t="s">
        <v>14</v>
      </c>
      <c r="N83" s="145" t="s">
        <v>159</v>
      </c>
    </row>
    <row r="84" spans="1:14" ht="79.5" customHeight="1">
      <c r="A84" s="169" t="s">
        <v>71</v>
      </c>
      <c r="B84" s="20">
        <v>42661</v>
      </c>
      <c r="C84" s="20">
        <v>44377</v>
      </c>
      <c r="D84" s="33" t="s">
        <v>31</v>
      </c>
      <c r="E84" s="33">
        <v>14000</v>
      </c>
      <c r="F84" s="171">
        <v>6000000</v>
      </c>
      <c r="G84" s="89"/>
      <c r="H84" s="76"/>
      <c r="I84" s="33"/>
      <c r="J84" s="33"/>
      <c r="K84" s="89"/>
      <c r="L84" s="35">
        <v>0</v>
      </c>
      <c r="M84" s="34"/>
      <c r="N84" s="74" t="s">
        <v>151</v>
      </c>
    </row>
    <row r="85" spans="1:14" ht="62.25" customHeight="1">
      <c r="A85" s="139" t="s">
        <v>80</v>
      </c>
      <c r="B85" s="157">
        <v>42839</v>
      </c>
      <c r="C85" s="157">
        <v>43830</v>
      </c>
      <c r="D85" s="158" t="s">
        <v>31</v>
      </c>
      <c r="E85" s="158">
        <v>7000</v>
      </c>
      <c r="F85" s="158"/>
      <c r="G85" s="158">
        <v>20300</v>
      </c>
      <c r="H85" s="162"/>
      <c r="I85" s="158">
        <v>16175.188169999999</v>
      </c>
      <c r="J85" s="158"/>
      <c r="K85" s="158">
        <f>4888.2751+I85</f>
        <v>21063.46327</v>
      </c>
      <c r="L85" s="158">
        <v>0</v>
      </c>
      <c r="M85" s="164"/>
      <c r="N85" s="163" t="s">
        <v>113</v>
      </c>
    </row>
    <row r="86" spans="1:14" ht="42" customHeight="1">
      <c r="A86" s="139" t="s">
        <v>60</v>
      </c>
      <c r="B86" s="20">
        <v>42346</v>
      </c>
      <c r="C86" s="20">
        <v>43228</v>
      </c>
      <c r="D86" s="33" t="s">
        <v>31</v>
      </c>
      <c r="E86" s="33">
        <v>82821</v>
      </c>
      <c r="F86" s="33"/>
      <c r="G86" s="89">
        <v>22000</v>
      </c>
      <c r="H86" s="76"/>
      <c r="I86" s="33">
        <v>22881.135490000001</v>
      </c>
      <c r="J86" s="33"/>
      <c r="K86" s="89">
        <f>203167.21343+I86</f>
        <v>226048.34892000002</v>
      </c>
      <c r="L86" s="33"/>
      <c r="M86" s="34"/>
      <c r="N86" s="74" t="s">
        <v>110</v>
      </c>
    </row>
    <row r="87" spans="1:14" ht="66.75" customHeight="1">
      <c r="A87" s="139" t="s">
        <v>70</v>
      </c>
      <c r="B87" s="20">
        <v>42929</v>
      </c>
      <c r="C87" s="20">
        <v>43830</v>
      </c>
      <c r="D87" s="33" t="s">
        <v>31</v>
      </c>
      <c r="E87" s="33">
        <v>5500</v>
      </c>
      <c r="F87" s="33">
        <v>1500</v>
      </c>
      <c r="G87" s="89">
        <v>7000</v>
      </c>
      <c r="H87" s="76">
        <v>2100</v>
      </c>
      <c r="I87" s="33">
        <v>8749.2803600000007</v>
      </c>
      <c r="J87" s="33"/>
      <c r="K87" s="152">
        <f>I87</f>
        <v>8749.2803600000007</v>
      </c>
      <c r="L87" s="35">
        <v>0</v>
      </c>
      <c r="M87" s="34"/>
      <c r="N87" s="128" t="s">
        <v>145</v>
      </c>
    </row>
    <row r="88" spans="1:14" s="10" customFormat="1" ht="232.9" customHeight="1" thickBot="1">
      <c r="A88" s="138" t="s">
        <v>59</v>
      </c>
      <c r="B88" s="62">
        <v>42457</v>
      </c>
      <c r="C88" s="62">
        <v>44316</v>
      </c>
      <c r="D88" s="57" t="s">
        <v>25</v>
      </c>
      <c r="E88" s="38">
        <v>40000</v>
      </c>
      <c r="F88" s="38"/>
      <c r="G88" s="38">
        <v>4600</v>
      </c>
      <c r="H88" s="86"/>
      <c r="I88" s="38">
        <v>3301.4519399999999</v>
      </c>
      <c r="J88" s="38"/>
      <c r="K88" s="38">
        <f>1323.25394+I88</f>
        <v>4624.7058799999995</v>
      </c>
      <c r="L88" s="38"/>
      <c r="M88" s="39"/>
      <c r="N88" s="80" t="s">
        <v>167</v>
      </c>
    </row>
    <row r="89" spans="1:14" s="7" customFormat="1" ht="29.25" customHeight="1" thickBot="1">
      <c r="A89" s="140"/>
      <c r="B89" s="64"/>
      <c r="C89" s="64"/>
      <c r="D89" s="65"/>
      <c r="E89" s="66"/>
      <c r="F89" s="40" t="s">
        <v>27</v>
      </c>
      <c r="G89" s="40">
        <f t="shared" ref="G89:L89" si="9">G7+G36+G51+G60+G71+G79+G82</f>
        <v>924770</v>
      </c>
      <c r="H89" s="98">
        <f t="shared" si="9"/>
        <v>138098</v>
      </c>
      <c r="I89" s="40">
        <f t="shared" si="9"/>
        <v>1001802.3072900001</v>
      </c>
      <c r="J89" s="40">
        <f t="shared" si="9"/>
        <v>133677.97899999999</v>
      </c>
      <c r="K89" s="40">
        <f t="shared" si="9"/>
        <v>4025355.0460950001</v>
      </c>
      <c r="L89" s="40">
        <f t="shared" si="9"/>
        <v>474921.20698139997</v>
      </c>
      <c r="M89" s="66"/>
      <c r="N89" s="98"/>
    </row>
    <row r="90" spans="1:14" ht="8.25" customHeight="1">
      <c r="A90" s="19"/>
      <c r="B90" s="18"/>
      <c r="C90" s="18"/>
      <c r="D90" s="19"/>
      <c r="E90" s="19"/>
      <c r="F90" s="19"/>
      <c r="G90" s="101"/>
      <c r="H90" s="19"/>
      <c r="I90" s="19"/>
      <c r="J90" s="19"/>
      <c r="K90" s="101"/>
      <c r="L90" s="19"/>
      <c r="M90" s="19"/>
      <c r="N90" s="13"/>
    </row>
    <row r="91" spans="1:14" ht="31.5" customHeight="1">
      <c r="A91" s="180" t="s">
        <v>91</v>
      </c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</row>
    <row r="92" spans="1:14" ht="26.25" customHeight="1">
      <c r="A92" s="14" t="s">
        <v>92</v>
      </c>
      <c r="B92" s="16"/>
      <c r="C92" s="16"/>
      <c r="D92" s="14"/>
      <c r="E92" s="14"/>
      <c r="F92" s="14"/>
      <c r="H92" s="14"/>
      <c r="I92" s="14"/>
      <c r="J92" s="14"/>
      <c r="K92" s="102"/>
      <c r="L92" s="14"/>
      <c r="M92" s="14"/>
    </row>
    <row r="94" spans="1:14">
      <c r="J94" s="2"/>
    </row>
    <row r="95" spans="1:14" ht="24.75" customHeight="1">
      <c r="G95" s="23"/>
      <c r="H95" s="9"/>
      <c r="I95" s="9"/>
      <c r="J95" s="9"/>
      <c r="K95" s="142"/>
      <c r="L95" s="143"/>
    </row>
    <row r="96" spans="1:14" ht="19.5">
      <c r="G96" s="102"/>
      <c r="H96" s="2"/>
      <c r="I96" s="9"/>
      <c r="J96" s="2"/>
      <c r="K96" s="102"/>
      <c r="L96" s="2"/>
    </row>
    <row r="97" spans="9:9">
      <c r="I97" s="15"/>
    </row>
  </sheetData>
  <mergeCells count="143">
    <mergeCell ref="A18:A19"/>
    <mergeCell ref="G18:G19"/>
    <mergeCell ref="K18:K19"/>
    <mergeCell ref="N18:N19"/>
    <mergeCell ref="L18:L19"/>
    <mergeCell ref="J18:J19"/>
    <mergeCell ref="I18:I19"/>
    <mergeCell ref="H18:H19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9:B30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29:G30"/>
    <mergeCell ref="H29:H30"/>
    <mergeCell ref="J29:J30"/>
    <mergeCell ref="J8:J9"/>
    <mergeCell ref="H12:H13"/>
    <mergeCell ref="K29:K30"/>
    <mergeCell ref="K5:L5"/>
    <mergeCell ref="K4:L4"/>
    <mergeCell ref="J12:J13"/>
    <mergeCell ref="I8:I9"/>
    <mergeCell ref="L29:L30"/>
    <mergeCell ref="H10:H11"/>
    <mergeCell ref="H8:H9"/>
    <mergeCell ref="A29:A30"/>
    <mergeCell ref="H53:H54"/>
    <mergeCell ref="B53:B54"/>
    <mergeCell ref="A43:A44"/>
    <mergeCell ref="B43:B44"/>
    <mergeCell ref="G43:G44"/>
    <mergeCell ref="G53:G54"/>
    <mergeCell ref="N8:N9"/>
    <mergeCell ref="N12:N13"/>
    <mergeCell ref="N29:N30"/>
    <mergeCell ref="M29:M30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I29:I30"/>
    <mergeCell ref="C29:C30"/>
    <mergeCell ref="F8:F9"/>
    <mergeCell ref="L8:L9"/>
    <mergeCell ref="L12:L13"/>
    <mergeCell ref="K10:K11"/>
    <mergeCell ref="F29:F30"/>
    <mergeCell ref="A36:F36"/>
    <mergeCell ref="H72:H74"/>
    <mergeCell ref="N40:N41"/>
    <mergeCell ref="F40:F41"/>
    <mergeCell ref="I72:I74"/>
    <mergeCell ref="J72:J74"/>
    <mergeCell ref="K72:K74"/>
    <mergeCell ref="L72:L74"/>
    <mergeCell ref="N72:N74"/>
    <mergeCell ref="N62:N63"/>
    <mergeCell ref="N43:N44"/>
    <mergeCell ref="M40:M41"/>
    <mergeCell ref="G40:G41"/>
    <mergeCell ref="H40:H41"/>
    <mergeCell ref="I53:I54"/>
    <mergeCell ref="K53:K54"/>
    <mergeCell ref="J53:J54"/>
    <mergeCell ref="L43:L44"/>
    <mergeCell ref="K40:K41"/>
    <mergeCell ref="A60:F60"/>
    <mergeCell ref="A71:F71"/>
    <mergeCell ref="G72:G74"/>
    <mergeCell ref="B66:B67"/>
    <mergeCell ref="L53:L54"/>
    <mergeCell ref="K43:K44"/>
    <mergeCell ref="J43:J44"/>
    <mergeCell ref="C62:C64"/>
    <mergeCell ref="D62:D64"/>
    <mergeCell ref="E62:E64"/>
    <mergeCell ref="C53:C54"/>
    <mergeCell ref="F53:F54"/>
    <mergeCell ref="A51:F51"/>
    <mergeCell ref="A40:A41"/>
    <mergeCell ref="B40:B41"/>
    <mergeCell ref="B21:B23"/>
    <mergeCell ref="C21:C23"/>
    <mergeCell ref="D21:D23"/>
    <mergeCell ref="E21:E23"/>
    <mergeCell ref="A91:N91"/>
    <mergeCell ref="A53:A54"/>
    <mergeCell ref="I43:I44"/>
    <mergeCell ref="H43:H44"/>
    <mergeCell ref="A79:F79"/>
    <mergeCell ref="A82:F82"/>
    <mergeCell ref="A75:A76"/>
    <mergeCell ref="B75:B76"/>
    <mergeCell ref="C75:C76"/>
    <mergeCell ref="D75:D76"/>
    <mergeCell ref="E75:E76"/>
    <mergeCell ref="F75:F76"/>
    <mergeCell ref="C66:C67"/>
    <mergeCell ref="E66:E67"/>
    <mergeCell ref="N53:N54"/>
    <mergeCell ref="I40:I41"/>
    <mergeCell ref="L40:L41"/>
    <mergeCell ref="A72:A74"/>
    <mergeCell ref="B62:B64"/>
    <mergeCell ref="J40:J41"/>
  </mergeCells>
  <printOptions horizontalCentered="1"/>
  <pageMargins left="0.11811023622047245" right="0.11811023622047245" top="0.19685039370078741" bottom="0.19685039370078741" header="0" footer="0"/>
  <pageSetup paperSize="9" scale="41" fitToHeight="5" orientation="landscape" r:id="rId1"/>
  <headerFooter alignWithMargins="0"/>
  <rowBreaks count="4" manualBreakCount="4">
    <brk id="24" max="16383" man="1"/>
    <brk id="42" max="16383" man="1"/>
    <brk id="55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Website</vt:lpstr>
      <vt:lpstr>'For Website'!Print_Titles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Anna Rusieshvili</cp:lastModifiedBy>
  <cp:lastPrinted>2019-02-06T12:36:07Z</cp:lastPrinted>
  <dcterms:created xsi:type="dcterms:W3CDTF">2011-04-14T08:42:21Z</dcterms:created>
  <dcterms:modified xsi:type="dcterms:W3CDTF">2019-02-06T12:36:37Z</dcterms:modified>
</cp:coreProperties>
</file>